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alentovaj\Desktop\ROZPOČET\2020\ODESLANÉ KE SCHVÁLENÍ\PRO AS 17 03 2020\"/>
    </mc:Choice>
  </mc:AlternateContent>
  <bookViews>
    <workbookView xWindow="0" yWindow="0" windowWidth="28800" windowHeight="12030" tabRatio="816" activeTab="6"/>
  </bookViews>
  <sheets>
    <sheet name="Obsah" sheetId="1" r:id="rId1"/>
    <sheet name="1.1 Objemy A JU" sheetId="2" r:id="rId2"/>
    <sheet name="1.2 Objemy K JU" sheetId="8" r:id="rId3"/>
    <sheet name="1.3 A+K 2020" sheetId="13" r:id="rId4"/>
    <sheet name="2 Dotace na RVO" sheetId="3" r:id="rId5"/>
    <sheet name="3 Rekapituace" sheetId="9" r:id="rId6"/>
    <sheet name="4 Návrh R a AK 2020 2.3.2020" sheetId="15" r:id="rId7"/>
    <sheet name="5 Alokace R a AK 2020" sheetId="14" r:id="rId8"/>
  </sheets>
  <externalReferences>
    <externalReference r:id="rId9"/>
  </externalReferences>
  <definedNames>
    <definedName name="ble" localSheetId="2">[1]CFG!#REF!</definedName>
    <definedName name="ble" localSheetId="3">[1]CFG!#REF!</definedName>
    <definedName name="ble" localSheetId="4">[1]CFG!#REF!</definedName>
    <definedName name="ble" localSheetId="5">[1]CFG!#REF!</definedName>
    <definedName name="ble" localSheetId="7">[1]CFG!#REF!</definedName>
    <definedName name="ble">[1]CFG!#REF!</definedName>
    <definedName name="kkk" localSheetId="2">[1]CFG!#REF!</definedName>
    <definedName name="kkk" localSheetId="3">[1]CFG!#REF!</definedName>
    <definedName name="kkk" localSheetId="4">[1]CFG!#REF!</definedName>
    <definedName name="kkk" localSheetId="5">[1]CFG!#REF!</definedName>
    <definedName name="kkk" localSheetId="7">[1]CFG!#REF!</definedName>
    <definedName name="kkk">[1]CFG!#REF!</definedName>
    <definedName name="kkkkk" localSheetId="3">[1]CFG!#REF!</definedName>
    <definedName name="kkkkk" localSheetId="4">[1]CFG!#REF!</definedName>
    <definedName name="kkkkk" localSheetId="7">[1]CFG!#REF!</definedName>
    <definedName name="kkkkk">[1]CFG!#REF!</definedName>
    <definedName name="kkkkkkkkk" localSheetId="3">[1]CFG!#REF!</definedName>
    <definedName name="kkkkkkkkk" localSheetId="4">[1]CFG!#REF!</definedName>
    <definedName name="kkkkkkkkk">[1]CFG!#REF!</definedName>
    <definedName name="kontr_vyp_menu_souhl" localSheetId="3">[1]CFG!#REF!</definedName>
    <definedName name="kontr_vyp_menu_souhl" localSheetId="4">[1]CFG!#REF!</definedName>
    <definedName name="kontr_vyp_menu_souhl" localSheetId="7">[1]CFG!#REF!</definedName>
    <definedName name="kontr_vyp_menu_souhl">[1]CFG!#REF!</definedName>
    <definedName name="kontr_vyp_obd" localSheetId="3">[1]CFG!#REF!</definedName>
    <definedName name="kontr_vyp_obd" localSheetId="7">[1]CFG!#REF!</definedName>
    <definedName name="kontr_vyp_obd">[1]CFG!#REF!</definedName>
    <definedName name="md_uzit" localSheetId="3">[1]CFG!#REF!</definedName>
    <definedName name="md_uzit" localSheetId="7">[1]CFG!#REF!</definedName>
    <definedName name="md_uzit">[1]CFG!#REF!</definedName>
    <definedName name="mmmm" localSheetId="3">[1]CFG!#REF!</definedName>
    <definedName name="mmmm">[1]CFG!#REF!</definedName>
    <definedName name="mmmmm" localSheetId="3">[1]CFG!#REF!</definedName>
    <definedName name="mmmmm">[1]CFG!#REF!</definedName>
    <definedName name="mmmmmmmmmm" localSheetId="3">[1]CFG!#REF!</definedName>
    <definedName name="mmmmmmmmmm">[1]CFG!#REF!</definedName>
    <definedName name="mmmmmmmmmmmmmmmmm" localSheetId="3">[1]CFG!#REF!</definedName>
    <definedName name="mmmmmmmmmmmmmmmmm">[1]CFG!#REF!</definedName>
    <definedName name="napln_pole" localSheetId="3">[1]CFG!#REF!</definedName>
    <definedName name="napln_pole" localSheetId="7">[1]CFG!#REF!</definedName>
    <definedName name="napln_pole">[1]CFG!#REF!</definedName>
    <definedName name="nn" localSheetId="2">[1]CFG!#REF!</definedName>
    <definedName name="nn" localSheetId="3">[1]CFG!#REF!</definedName>
    <definedName name="nn" localSheetId="4">[1]CFG!#REF!</definedName>
    <definedName name="nn" localSheetId="5">[1]CFG!#REF!</definedName>
    <definedName name="nn" localSheetId="7">[1]CFG!#REF!</definedName>
    <definedName name="nn">[1]CFG!#REF!</definedName>
    <definedName name="nnn" localSheetId="2">[1]CFG!#REF!</definedName>
    <definedName name="nnn" localSheetId="3">[1]CFG!#REF!</definedName>
    <definedName name="nnn" localSheetId="4">[1]CFG!#REF!</definedName>
    <definedName name="nnn" localSheetId="5">[1]CFG!#REF!</definedName>
    <definedName name="nnn">[1]CFG!#REF!</definedName>
    <definedName name="nnnn" localSheetId="2">[1]CFG!#REF!</definedName>
    <definedName name="nnnn" localSheetId="3">[1]CFG!#REF!</definedName>
    <definedName name="nnnn" localSheetId="4">[1]CFG!#REF!</definedName>
    <definedName name="nnnn" localSheetId="5">[1]CFG!#REF!</definedName>
    <definedName name="nnnn">[1]CFG!#REF!</definedName>
    <definedName name="obl_vzorcu" localSheetId="2">#REF!</definedName>
    <definedName name="obl_vzorcu" localSheetId="3">#REF!</definedName>
    <definedName name="obl_vzorcu" localSheetId="4">#REF!</definedName>
    <definedName name="obl_vzorcu" localSheetId="5">#REF!</definedName>
    <definedName name="obl_vzorcu" localSheetId="7">#REF!</definedName>
    <definedName name="obl_vzorcu">#REF!</definedName>
    <definedName name="okl" localSheetId="2">#REF!</definedName>
    <definedName name="okl" localSheetId="3">#REF!</definedName>
    <definedName name="okl" localSheetId="4">#REF!</definedName>
    <definedName name="okl" localSheetId="5">#REF!</definedName>
    <definedName name="okl" localSheetId="7">#REF!</definedName>
    <definedName name="okl">#REF!</definedName>
    <definedName name="Print_Area" localSheetId="5">'3 Rekapituace'!$A$1:$T$63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9" l="1"/>
  <c r="C63" i="9"/>
  <c r="E62" i="9"/>
  <c r="E61" i="9"/>
  <c r="E60" i="9"/>
  <c r="E59" i="9"/>
  <c r="E58" i="9"/>
  <c r="E57" i="9"/>
  <c r="E56" i="9"/>
  <c r="E55" i="9"/>
  <c r="E63" i="9" s="1"/>
  <c r="F55" i="9"/>
  <c r="F56" i="9"/>
  <c r="F57" i="9"/>
  <c r="F58" i="9"/>
  <c r="F59" i="9"/>
  <c r="F60" i="9"/>
  <c r="F61" i="9"/>
  <c r="F62" i="9"/>
  <c r="F63" i="9" l="1"/>
  <c r="C6" i="8" l="1"/>
  <c r="C10" i="2"/>
  <c r="C9" i="2"/>
  <c r="C8" i="2"/>
  <c r="C7" i="2"/>
  <c r="B7" i="13"/>
  <c r="S20" i="14" l="1"/>
  <c r="E36" i="9" l="1"/>
  <c r="M13" i="14"/>
  <c r="M21" i="14" l="1"/>
  <c r="L64" i="15" l="1"/>
  <c r="K64" i="15"/>
  <c r="J64" i="15"/>
  <c r="G64" i="15"/>
  <c r="F64" i="15"/>
  <c r="I63" i="15"/>
  <c r="D63" i="15"/>
  <c r="I62" i="15"/>
  <c r="D62" i="15"/>
  <c r="I61" i="15"/>
  <c r="D61" i="15"/>
  <c r="I60" i="15"/>
  <c r="D60" i="15"/>
  <c r="I59" i="15"/>
  <c r="D59" i="15"/>
  <c r="I58" i="15"/>
  <c r="D58" i="15"/>
  <c r="I57" i="15"/>
  <c r="D57" i="15"/>
  <c r="I56" i="15"/>
  <c r="D56" i="15"/>
  <c r="I55" i="15"/>
  <c r="D55" i="15"/>
  <c r="I54" i="15"/>
  <c r="D54" i="15"/>
  <c r="I53" i="15"/>
  <c r="D53" i="15"/>
  <c r="I52" i="15"/>
  <c r="D52" i="15"/>
  <c r="I51" i="15"/>
  <c r="D51" i="15"/>
  <c r="I50" i="15"/>
  <c r="D50" i="15"/>
  <c r="I49" i="15"/>
  <c r="D49" i="15"/>
  <c r="I48" i="15"/>
  <c r="D48" i="15"/>
  <c r="I47" i="15"/>
  <c r="D47" i="15"/>
  <c r="I46" i="15"/>
  <c r="D46" i="15"/>
  <c r="I45" i="15"/>
  <c r="D45" i="15"/>
  <c r="I44" i="15"/>
  <c r="D44" i="15"/>
  <c r="I43" i="15"/>
  <c r="D43" i="15"/>
  <c r="I42" i="15"/>
  <c r="D42" i="15"/>
  <c r="I41" i="15"/>
  <c r="D41" i="15"/>
  <c r="I40" i="15"/>
  <c r="D40" i="15"/>
  <c r="I39" i="15"/>
  <c r="D39" i="15"/>
  <c r="I38" i="15"/>
  <c r="D38" i="15"/>
  <c r="I37" i="15"/>
  <c r="D37" i="15"/>
  <c r="I36" i="15"/>
  <c r="D36" i="15"/>
  <c r="I35" i="15"/>
  <c r="D35" i="15"/>
  <c r="I34" i="15"/>
  <c r="D34" i="15"/>
  <c r="I33" i="15"/>
  <c r="E33" i="15"/>
  <c r="D33" i="15" s="1"/>
  <c r="I32" i="15"/>
  <c r="D32" i="15"/>
  <c r="I31" i="15"/>
  <c r="D31" i="15"/>
  <c r="I30" i="15"/>
  <c r="D30" i="15"/>
  <c r="I29" i="15"/>
  <c r="D29" i="15"/>
  <c r="I28" i="15"/>
  <c r="D28" i="15"/>
  <c r="I27" i="15"/>
  <c r="D27" i="15"/>
  <c r="I26" i="15"/>
  <c r="D26" i="15"/>
  <c r="I25" i="15"/>
  <c r="D25" i="15"/>
  <c r="I24" i="15"/>
  <c r="D24" i="15"/>
  <c r="I23" i="15"/>
  <c r="D23" i="15"/>
  <c r="I22" i="15"/>
  <c r="D22" i="15"/>
  <c r="I21" i="15"/>
  <c r="D21" i="15"/>
  <c r="I20" i="15"/>
  <c r="D20" i="15"/>
  <c r="I19" i="15"/>
  <c r="D19" i="15"/>
  <c r="I18" i="15"/>
  <c r="D18" i="15"/>
  <c r="I17" i="15"/>
  <c r="D17" i="15"/>
  <c r="I16" i="15"/>
  <c r="D16" i="15"/>
  <c r="I15" i="15"/>
  <c r="D15" i="15"/>
  <c r="I14" i="15"/>
  <c r="D14" i="15"/>
  <c r="I13" i="15"/>
  <c r="D13" i="15"/>
  <c r="I12" i="15"/>
  <c r="D12" i="15"/>
  <c r="I11" i="15"/>
  <c r="D11" i="15"/>
  <c r="I10" i="15"/>
  <c r="D10" i="15"/>
  <c r="I9" i="15"/>
  <c r="D9" i="15"/>
  <c r="I8" i="15"/>
  <c r="D8" i="15"/>
  <c r="I7" i="15"/>
  <c r="D7" i="15"/>
  <c r="I6" i="15"/>
  <c r="D6" i="15"/>
  <c r="I5" i="15"/>
  <c r="D5" i="15"/>
  <c r="I4" i="15"/>
  <c r="D4" i="15"/>
  <c r="I64" i="15" l="1"/>
  <c r="E64" i="15"/>
  <c r="D64" i="15"/>
  <c r="U54" i="14"/>
  <c r="R54" i="14"/>
  <c r="R56" i="14" s="1"/>
  <c r="Q54" i="14"/>
  <c r="P54" i="14"/>
  <c r="O54" i="14"/>
  <c r="N54" i="14"/>
  <c r="M54" i="14"/>
  <c r="L54" i="14"/>
  <c r="L56" i="14" s="1"/>
  <c r="K54" i="14"/>
  <c r="K56" i="14" s="1"/>
  <c r="J54" i="14"/>
  <c r="J56" i="14" s="1"/>
  <c r="I54" i="14"/>
  <c r="I56" i="14" s="1"/>
  <c r="H54" i="14"/>
  <c r="H56" i="14" s="1"/>
  <c r="G54" i="14"/>
  <c r="F54" i="14"/>
  <c r="E54" i="14"/>
  <c r="S53" i="14"/>
  <c r="G53" i="14"/>
  <c r="F53" i="14"/>
  <c r="S52" i="14"/>
  <c r="S51" i="14"/>
  <c r="S50" i="14"/>
  <c r="S49" i="14"/>
  <c r="S48" i="14"/>
  <c r="S47" i="14"/>
  <c r="S46" i="14"/>
  <c r="S45" i="14"/>
  <c r="S44" i="14"/>
  <c r="S43" i="14"/>
  <c r="AB40" i="14"/>
  <c r="Z40" i="14"/>
  <c r="X40" i="14"/>
  <c r="V40" i="14"/>
  <c r="T40" i="14"/>
  <c r="O40" i="14"/>
  <c r="N40" i="14"/>
  <c r="M40" i="14"/>
  <c r="L40" i="14"/>
  <c r="G40" i="14"/>
  <c r="F40" i="14"/>
  <c r="E40" i="14"/>
  <c r="A40" i="14"/>
  <c r="Q39" i="14"/>
  <c r="P39" i="14"/>
  <c r="S39" i="14" s="1"/>
  <c r="A39" i="14"/>
  <c r="Q38" i="14"/>
  <c r="P38" i="14"/>
  <c r="S38" i="14" s="1"/>
  <c r="Q37" i="14"/>
  <c r="Q40" i="14" s="1"/>
  <c r="P37" i="14"/>
  <c r="S37" i="14" s="1"/>
  <c r="A37" i="14"/>
  <c r="O35" i="14"/>
  <c r="M35" i="14"/>
  <c r="L35" i="14"/>
  <c r="G35" i="14"/>
  <c r="F35" i="14"/>
  <c r="E35" i="14"/>
  <c r="S34" i="14"/>
  <c r="N33" i="14"/>
  <c r="N35" i="14" s="1"/>
  <c r="O31" i="14"/>
  <c r="N31" i="14"/>
  <c r="M31" i="14"/>
  <c r="G31" i="14"/>
  <c r="F31" i="14"/>
  <c r="A31" i="14"/>
  <c r="Q30" i="14"/>
  <c r="P30" i="14"/>
  <c r="S30" i="14" s="1"/>
  <c r="Q29" i="14"/>
  <c r="P29" i="14"/>
  <c r="S29" i="14" s="1"/>
  <c r="A29" i="14"/>
  <c r="Q28" i="14"/>
  <c r="P28" i="14"/>
  <c r="S28" i="14" s="1"/>
  <c r="A28" i="14"/>
  <c r="Q27" i="14"/>
  <c r="P27" i="14"/>
  <c r="S27" i="14" s="1"/>
  <c r="A27" i="14"/>
  <c r="Q26" i="14"/>
  <c r="P26" i="14"/>
  <c r="S26" i="14" s="1"/>
  <c r="A26" i="14"/>
  <c r="Q25" i="14"/>
  <c r="P25" i="14"/>
  <c r="S25" i="14" s="1"/>
  <c r="A25" i="14"/>
  <c r="Q24" i="14"/>
  <c r="P24" i="14"/>
  <c r="S24" i="14" s="1"/>
  <c r="A24" i="14"/>
  <c r="Q23" i="14"/>
  <c r="P23" i="14"/>
  <c r="S23" i="14" s="1"/>
  <c r="A23" i="14"/>
  <c r="Q22" i="14"/>
  <c r="P22" i="14"/>
  <c r="S22" i="14" s="1"/>
  <c r="A22" i="14"/>
  <c r="Q21" i="14"/>
  <c r="P21" i="14"/>
  <c r="S21" i="14" s="1"/>
  <c r="A21" i="14"/>
  <c r="Q20" i="14"/>
  <c r="P20" i="14"/>
  <c r="Q19" i="14"/>
  <c r="P19" i="14"/>
  <c r="S19" i="14" s="1"/>
  <c r="E19" i="14"/>
  <c r="E31" i="14" s="1"/>
  <c r="A19" i="14"/>
  <c r="Q18" i="14"/>
  <c r="P18" i="14"/>
  <c r="S18" i="14" s="1"/>
  <c r="A18" i="14"/>
  <c r="Q17" i="14"/>
  <c r="P17" i="14"/>
  <c r="A17" i="14"/>
  <c r="O15" i="14"/>
  <c r="N15" i="14"/>
  <c r="M15" i="14"/>
  <c r="G15" i="14"/>
  <c r="F15" i="14"/>
  <c r="E15" i="14"/>
  <c r="A15" i="14"/>
  <c r="S14" i="14"/>
  <c r="A14" i="14"/>
  <c r="Q13" i="14"/>
  <c r="Q15" i="14" s="1"/>
  <c r="P13" i="14"/>
  <c r="P15" i="14" s="1"/>
  <c r="A13" i="14"/>
  <c r="O11" i="14"/>
  <c r="N11" i="14"/>
  <c r="M11" i="14"/>
  <c r="G11" i="14"/>
  <c r="F11" i="14"/>
  <c r="E11" i="14"/>
  <c r="A11" i="14"/>
  <c r="S10" i="14"/>
  <c r="A10" i="14"/>
  <c r="Q9" i="14"/>
  <c r="Q11" i="14" s="1"/>
  <c r="P9" i="14"/>
  <c r="P11" i="14" s="1"/>
  <c r="P7" i="14"/>
  <c r="O7" i="14"/>
  <c r="N7" i="14"/>
  <c r="M7" i="14"/>
  <c r="G7" i="14"/>
  <c r="F7" i="14"/>
  <c r="E7" i="14"/>
  <c r="A7" i="14"/>
  <c r="S6" i="14"/>
  <c r="A6" i="14"/>
  <c r="Q5" i="14"/>
  <c r="Q7" i="14" s="1"/>
  <c r="P5" i="14"/>
  <c r="S5" i="14" s="1"/>
  <c r="S7" i="14" s="1"/>
  <c r="S4" i="14"/>
  <c r="N41" i="14" l="1"/>
  <c r="F41" i="14"/>
  <c r="G41" i="14"/>
  <c r="N56" i="14"/>
  <c r="O56" i="14"/>
  <c r="S54" i="14"/>
  <c r="S40" i="14"/>
  <c r="P31" i="14"/>
  <c r="Q31" i="14"/>
  <c r="M41" i="14"/>
  <c r="S17" i="14"/>
  <c r="S31" i="14" s="1"/>
  <c r="S13" i="14"/>
  <c r="S15" i="14" s="1"/>
  <c r="S9" i="14"/>
  <c r="S11" i="14" s="1"/>
  <c r="M56" i="14"/>
  <c r="E56" i="14"/>
  <c r="T7" i="14"/>
  <c r="P33" i="14"/>
  <c r="F56" i="14"/>
  <c r="Q33" i="14"/>
  <c r="Q35" i="14" s="1"/>
  <c r="P40" i="14"/>
  <c r="O41" i="14"/>
  <c r="G56" i="14"/>
  <c r="E41" i="14"/>
  <c r="E22" i="13"/>
  <c r="E23" i="13"/>
  <c r="E24" i="13"/>
  <c r="E25" i="13"/>
  <c r="E26" i="13"/>
  <c r="E27" i="13"/>
  <c r="E28" i="13"/>
  <c r="E21" i="13"/>
  <c r="C35" i="2"/>
  <c r="M58" i="14" l="1"/>
  <c r="Q41" i="14"/>
  <c r="Q56" i="14"/>
  <c r="P35" i="14"/>
  <c r="S33" i="14"/>
  <c r="S35" i="14" s="1"/>
  <c r="U40" i="14"/>
  <c r="U11" i="14"/>
  <c r="U31" i="14"/>
  <c r="U15" i="14"/>
  <c r="D36" i="9"/>
  <c r="D38" i="9" s="1"/>
  <c r="C36" i="9"/>
  <c r="C38" i="9" s="1"/>
  <c r="E45" i="3"/>
  <c r="F45" i="3" s="1"/>
  <c r="G45" i="3" s="1"/>
  <c r="E51" i="3"/>
  <c r="F51" i="3" s="1"/>
  <c r="G51" i="3" s="1"/>
  <c r="T34" i="3"/>
  <c r="T40" i="3" s="1"/>
  <c r="R27" i="3"/>
  <c r="V27" i="3" s="1"/>
  <c r="F5" i="9" s="1"/>
  <c r="R28" i="3"/>
  <c r="V28" i="3" s="1"/>
  <c r="E46" i="3" s="1"/>
  <c r="F46" i="3" s="1"/>
  <c r="G46" i="3" s="1"/>
  <c r="R29" i="3"/>
  <c r="V29" i="3" s="1"/>
  <c r="E47" i="3" s="1"/>
  <c r="F47" i="3" s="1"/>
  <c r="G47" i="3" s="1"/>
  <c r="R30" i="3"/>
  <c r="V30" i="3" s="1"/>
  <c r="F8" i="9" s="1"/>
  <c r="R31" i="3"/>
  <c r="V31" i="3" s="1"/>
  <c r="E49" i="3" s="1"/>
  <c r="F49" i="3" s="1"/>
  <c r="G49" i="3" s="1"/>
  <c r="R32" i="3"/>
  <c r="V32" i="3" s="1"/>
  <c r="F10" i="9" s="1"/>
  <c r="R33" i="3"/>
  <c r="V33" i="3" s="1"/>
  <c r="F11" i="9" s="1"/>
  <c r="R26" i="3"/>
  <c r="J34" i="3"/>
  <c r="E34" i="3"/>
  <c r="D34" i="3"/>
  <c r="G17" i="3"/>
  <c r="G18" i="3"/>
  <c r="G19" i="3"/>
  <c r="G20" i="3"/>
  <c r="G21" i="3"/>
  <c r="G22" i="3"/>
  <c r="G16" i="3"/>
  <c r="G7" i="3"/>
  <c r="G14" i="3"/>
  <c r="G13" i="3"/>
  <c r="V37" i="3" s="1"/>
  <c r="G12" i="3"/>
  <c r="V38" i="3" s="1"/>
  <c r="G11" i="3"/>
  <c r="V36" i="3" s="1"/>
  <c r="U56" i="14" l="1"/>
  <c r="V11" i="14"/>
  <c r="S56" i="14"/>
  <c r="AF57" i="14" s="1"/>
  <c r="S41" i="14"/>
  <c r="P56" i="14"/>
  <c r="P41" i="14"/>
  <c r="E50" i="3"/>
  <c r="F50" i="3" s="1"/>
  <c r="G50" i="3" s="1"/>
  <c r="F9" i="9"/>
  <c r="F6" i="9"/>
  <c r="E48" i="3"/>
  <c r="F48" i="3" s="1"/>
  <c r="G48" i="3" s="1"/>
  <c r="F7" i="9"/>
  <c r="R34" i="3"/>
  <c r="R40" i="3" s="1"/>
  <c r="V26" i="3"/>
  <c r="G15" i="3"/>
  <c r="W48" i="14" l="1"/>
  <c r="W50" i="14"/>
  <c r="W47" i="14"/>
  <c r="W51" i="14"/>
  <c r="W45" i="14"/>
  <c r="W43" i="14"/>
  <c r="W52" i="14"/>
  <c r="W49" i="14"/>
  <c r="W46" i="14"/>
  <c r="W35" i="14"/>
  <c r="W31" i="14"/>
  <c r="W40" i="14"/>
  <c r="W15" i="14"/>
  <c r="W53" i="14"/>
  <c r="W44" i="14"/>
  <c r="V34" i="3"/>
  <c r="V40" i="3" s="1"/>
  <c r="E44" i="3"/>
  <c r="F44" i="3" s="1"/>
  <c r="G44" i="3" s="1"/>
  <c r="F4" i="9"/>
  <c r="W54" i="14" l="1"/>
  <c r="W56" i="14" s="1"/>
  <c r="X15" i="14"/>
  <c r="C35" i="8"/>
  <c r="F22" i="8"/>
  <c r="G22" i="8"/>
  <c r="H22" i="8"/>
  <c r="I22" i="8"/>
  <c r="J22" i="8"/>
  <c r="K22" i="8"/>
  <c r="L22" i="8"/>
  <c r="C22" i="8"/>
  <c r="C7" i="8" l="1"/>
  <c r="Y50" i="14"/>
  <c r="Y52" i="14"/>
  <c r="Y49" i="14"/>
  <c r="Y46" i="14"/>
  <c r="Y40" i="14"/>
  <c r="Y35" i="14"/>
  <c r="Y31" i="14"/>
  <c r="Y47" i="14"/>
  <c r="Y53" i="14"/>
  <c r="Y51" i="14"/>
  <c r="Y48" i="14"/>
  <c r="Y45" i="14"/>
  <c r="Y44" i="14"/>
  <c r="Y43" i="14"/>
  <c r="C9" i="8" l="1"/>
  <c r="M18" i="8" s="1"/>
  <c r="C8" i="8"/>
  <c r="D18" i="8" s="1"/>
  <c r="B4" i="13"/>
  <c r="Y54" i="14"/>
  <c r="Y56" i="14" s="1"/>
  <c r="Z31" i="14"/>
  <c r="D15" i="8" l="1"/>
  <c r="D19" i="8"/>
  <c r="D17" i="8"/>
  <c r="D14" i="8"/>
  <c r="D13" i="8"/>
  <c r="D20" i="8"/>
  <c r="D16" i="8"/>
  <c r="M14" i="8"/>
  <c r="M20" i="8"/>
  <c r="M19" i="8"/>
  <c r="M17" i="8"/>
  <c r="O17" i="8" s="1"/>
  <c r="G59" i="9" s="1"/>
  <c r="H59" i="9" s="1"/>
  <c r="M16" i="8"/>
  <c r="M13" i="8"/>
  <c r="O18" i="8"/>
  <c r="G60" i="9" s="1"/>
  <c r="H60" i="9" s="1"/>
  <c r="M15" i="8"/>
  <c r="AA40" i="14"/>
  <c r="AD40" i="14" s="1"/>
  <c r="AA52" i="14"/>
  <c r="AA49" i="14"/>
  <c r="AA46" i="14"/>
  <c r="AA35" i="14"/>
  <c r="AA53" i="14"/>
  <c r="AF53" i="14" s="1"/>
  <c r="AA51" i="14"/>
  <c r="AA48" i="14"/>
  <c r="AA45" i="14"/>
  <c r="AA44" i="14"/>
  <c r="AA43" i="14"/>
  <c r="AA50" i="14"/>
  <c r="AA47" i="14"/>
  <c r="O13" i="8"/>
  <c r="G55" i="9" s="1"/>
  <c r="H55" i="9" l="1"/>
  <c r="O19" i="8"/>
  <c r="O15" i="8"/>
  <c r="G57" i="9" s="1"/>
  <c r="H57" i="9" s="1"/>
  <c r="O20" i="8"/>
  <c r="D33" i="8" s="1"/>
  <c r="F33" i="8" s="1"/>
  <c r="G33" i="8" s="1"/>
  <c r="O14" i="8"/>
  <c r="D22" i="8"/>
  <c r="O16" i="8"/>
  <c r="D30" i="8"/>
  <c r="F30" i="8" s="1"/>
  <c r="G30" i="8" s="1"/>
  <c r="D8" i="9"/>
  <c r="E14" i="13"/>
  <c r="D26" i="8"/>
  <c r="D4" i="9"/>
  <c r="E10" i="13"/>
  <c r="D31" i="8"/>
  <c r="F31" i="8" s="1"/>
  <c r="G31" i="8" s="1"/>
  <c r="D9" i="9"/>
  <c r="E15" i="13"/>
  <c r="AA54" i="14"/>
  <c r="AA56" i="14" s="1"/>
  <c r="AB35" i="14"/>
  <c r="AE51" i="14"/>
  <c r="AE48" i="14"/>
  <c r="AE45" i="14"/>
  <c r="AE52" i="14"/>
  <c r="AE49" i="14"/>
  <c r="AE46" i="14"/>
  <c r="AE50" i="14"/>
  <c r="AE47" i="14"/>
  <c r="E22" i="2"/>
  <c r="D28" i="8" l="1"/>
  <c r="F28" i="8" s="1"/>
  <c r="G28" i="8" s="1"/>
  <c r="E17" i="13"/>
  <c r="D32" i="8"/>
  <c r="F32" i="8" s="1"/>
  <c r="G32" i="8" s="1"/>
  <c r="G61" i="9"/>
  <c r="H61" i="9" s="1"/>
  <c r="E12" i="13"/>
  <c r="E16" i="13"/>
  <c r="D27" i="8"/>
  <c r="F27" i="8" s="1"/>
  <c r="G27" i="8" s="1"/>
  <c r="G56" i="9"/>
  <c r="E13" i="13"/>
  <c r="G58" i="9"/>
  <c r="H58" i="9" s="1"/>
  <c r="D6" i="9"/>
  <c r="E11" i="13"/>
  <c r="D10" i="9"/>
  <c r="D11" i="9"/>
  <c r="G62" i="9"/>
  <c r="H62" i="9" s="1"/>
  <c r="D5" i="9"/>
  <c r="D29" i="8"/>
  <c r="F29" i="8" s="1"/>
  <c r="G29" i="8" s="1"/>
  <c r="D7" i="9"/>
  <c r="F26" i="8"/>
  <c r="G26" i="8" s="1"/>
  <c r="AE54" i="14"/>
  <c r="AE56" i="14" s="1"/>
  <c r="AC52" i="14"/>
  <c r="AF52" i="14" s="1"/>
  <c r="AC49" i="14"/>
  <c r="AF49" i="14" s="1"/>
  <c r="AC46" i="14"/>
  <c r="AF46" i="14" s="1"/>
  <c r="AC51" i="14"/>
  <c r="AF51" i="14" s="1"/>
  <c r="AC48" i="14"/>
  <c r="AF48" i="14" s="1"/>
  <c r="AC45" i="14"/>
  <c r="AF45" i="14" s="1"/>
  <c r="AC44" i="14"/>
  <c r="AF44" i="14" s="1"/>
  <c r="AC43" i="14"/>
  <c r="AC50" i="14"/>
  <c r="AF50" i="14" s="1"/>
  <c r="AC47" i="14"/>
  <c r="AF47" i="14" s="1"/>
  <c r="F20" i="2"/>
  <c r="B3" i="13"/>
  <c r="B5" i="13" s="1"/>
  <c r="F17" i="2"/>
  <c r="H56" i="9" l="1"/>
  <c r="H63" i="9" s="1"/>
  <c r="G63" i="9"/>
  <c r="D35" i="8"/>
  <c r="F35" i="8" s="1"/>
  <c r="G35" i="8" s="1"/>
  <c r="F16" i="2"/>
  <c r="F14" i="2"/>
  <c r="F19" i="2"/>
  <c r="F18" i="2"/>
  <c r="F13" i="2"/>
  <c r="F15" i="2"/>
  <c r="AC54" i="14"/>
  <c r="AC56" i="14" s="1"/>
  <c r="AF43" i="14"/>
  <c r="AF54" i="14" s="1"/>
  <c r="AF56" i="14" s="1"/>
  <c r="AF58" i="14" s="1"/>
  <c r="B6" i="13"/>
  <c r="D16" i="2"/>
  <c r="D17" i="2"/>
  <c r="D18" i="2"/>
  <c r="D19" i="2"/>
  <c r="D14" i="2"/>
  <c r="D20" i="2"/>
  <c r="D15" i="2"/>
  <c r="D13" i="2"/>
  <c r="F22" i="2" l="1"/>
  <c r="G14" i="2"/>
  <c r="D27" i="2" s="1"/>
  <c r="E27" i="2" s="1"/>
  <c r="F27" i="2" s="1"/>
  <c r="G19" i="2"/>
  <c r="D32" i="2" s="1"/>
  <c r="E32" i="2" s="1"/>
  <c r="F32" i="2" s="1"/>
  <c r="G18" i="2"/>
  <c r="D31" i="2" s="1"/>
  <c r="E31" i="2" s="1"/>
  <c r="F31" i="2" s="1"/>
  <c r="G13" i="2"/>
  <c r="G17" i="2"/>
  <c r="D30" i="2" s="1"/>
  <c r="E30" i="2" s="1"/>
  <c r="F30" i="2" s="1"/>
  <c r="G15" i="2"/>
  <c r="D28" i="2" s="1"/>
  <c r="E28" i="2" s="1"/>
  <c r="F28" i="2" s="1"/>
  <c r="G16" i="2"/>
  <c r="D29" i="2" s="1"/>
  <c r="E29" i="2" s="1"/>
  <c r="F29" i="2" s="1"/>
  <c r="G20" i="2"/>
  <c r="D33" i="2" s="1"/>
  <c r="E33" i="2" s="1"/>
  <c r="F33" i="2" s="1"/>
  <c r="D43" i="9"/>
  <c r="D44" i="9"/>
  <c r="D45" i="9"/>
  <c r="D46" i="9"/>
  <c r="D47" i="9"/>
  <c r="D48" i="9"/>
  <c r="D49" i="9"/>
  <c r="D42" i="9"/>
  <c r="C43" i="9"/>
  <c r="C44" i="9"/>
  <c r="C45" i="9"/>
  <c r="C46" i="9"/>
  <c r="C47" i="9"/>
  <c r="C48" i="9"/>
  <c r="C49" i="9"/>
  <c r="C42" i="9"/>
  <c r="E38" i="9"/>
  <c r="D26" i="2" l="1"/>
  <c r="E26" i="2" s="1"/>
  <c r="F26" i="2" s="1"/>
  <c r="C6" i="9"/>
  <c r="C8" i="9"/>
  <c r="C9" i="9"/>
  <c r="C11" i="9"/>
  <c r="C10" i="9"/>
  <c r="C7" i="9"/>
  <c r="C5" i="9"/>
  <c r="C4" i="9"/>
  <c r="D10" i="13"/>
  <c r="D15" i="13"/>
  <c r="D12" i="13"/>
  <c r="D11" i="13"/>
  <c r="D17" i="13"/>
  <c r="D16" i="13"/>
  <c r="D14" i="13"/>
  <c r="D13" i="13"/>
  <c r="G22" i="2"/>
  <c r="D35" i="2" s="1"/>
  <c r="E35" i="2" s="1"/>
  <c r="F35" i="2" s="1"/>
  <c r="C50" i="9"/>
  <c r="D50" i="9"/>
  <c r="C24" i="9"/>
  <c r="C52" i="3"/>
  <c r="E52" i="3"/>
  <c r="D52" i="3"/>
  <c r="D29" i="13"/>
  <c r="F52" i="3" l="1"/>
  <c r="G52" i="3" s="1"/>
  <c r="D24" i="9" l="1"/>
  <c r="F12" i="9"/>
  <c r="D12" i="9"/>
  <c r="C12" i="9"/>
  <c r="E11" i="9"/>
  <c r="G11" i="9" s="1"/>
  <c r="E23" i="9" s="1"/>
  <c r="E10" i="9"/>
  <c r="E9" i="9"/>
  <c r="E8" i="9"/>
  <c r="E7" i="9"/>
  <c r="G7" i="9" s="1"/>
  <c r="E19" i="9" s="1"/>
  <c r="E6" i="9"/>
  <c r="G6" i="9" s="1"/>
  <c r="E18" i="9" s="1"/>
  <c r="E5" i="9"/>
  <c r="E4" i="9"/>
  <c r="E29" i="13"/>
  <c r="E18" i="13"/>
  <c r="D18" i="13"/>
  <c r="F17" i="13"/>
  <c r="F28" i="13" s="1"/>
  <c r="D39" i="13" s="1"/>
  <c r="E39" i="13" s="1"/>
  <c r="F16" i="13"/>
  <c r="F27" i="13" s="1"/>
  <c r="D38" i="13" s="1"/>
  <c r="E38" i="13" s="1"/>
  <c r="F15" i="13"/>
  <c r="F26" i="13" s="1"/>
  <c r="D37" i="13" s="1"/>
  <c r="E37" i="13" s="1"/>
  <c r="F14" i="13"/>
  <c r="F25" i="13" s="1"/>
  <c r="D36" i="13" s="1"/>
  <c r="E36" i="13" s="1"/>
  <c r="F13" i="13"/>
  <c r="F24" i="13" s="1"/>
  <c r="D35" i="13" s="1"/>
  <c r="E35" i="13" s="1"/>
  <c r="F12" i="13"/>
  <c r="F23" i="13" s="1"/>
  <c r="D34" i="13" s="1"/>
  <c r="E34" i="13" s="1"/>
  <c r="F11" i="13"/>
  <c r="F22" i="13" s="1"/>
  <c r="D33" i="13" s="1"/>
  <c r="E33" i="13" s="1"/>
  <c r="F10" i="13"/>
  <c r="F21" i="13" s="1"/>
  <c r="O22" i="8"/>
  <c r="M22" i="8"/>
  <c r="E45" i="9" l="1"/>
  <c r="F19" i="9"/>
  <c r="G19" i="9" s="1"/>
  <c r="E49" i="9"/>
  <c r="F23" i="9"/>
  <c r="G23" i="9" s="1"/>
  <c r="E44" i="9"/>
  <c r="F18" i="9"/>
  <c r="G18" i="9" s="1"/>
  <c r="D32" i="13"/>
  <c r="E32" i="13" s="1"/>
  <c r="F29" i="13"/>
  <c r="D40" i="13" s="1"/>
  <c r="E40" i="13" s="1"/>
  <c r="G10" i="9"/>
  <c r="E22" i="9" s="1"/>
  <c r="G9" i="9"/>
  <c r="E21" i="9" s="1"/>
  <c r="G5" i="9"/>
  <c r="E17" i="9" s="1"/>
  <c r="G4" i="9"/>
  <c r="E16" i="9" s="1"/>
  <c r="G8" i="9"/>
  <c r="E20" i="9" s="1"/>
  <c r="E12" i="9"/>
  <c r="F18" i="13"/>
  <c r="E48" i="9" l="1"/>
  <c r="F22" i="9"/>
  <c r="G22" i="9" s="1"/>
  <c r="E46" i="9"/>
  <c r="F20" i="9"/>
  <c r="G20" i="9" s="1"/>
  <c r="E42" i="9"/>
  <c r="F16" i="9"/>
  <c r="E24" i="9"/>
  <c r="E43" i="9"/>
  <c r="F17" i="9"/>
  <c r="G17" i="9" s="1"/>
  <c r="E47" i="9"/>
  <c r="F21" i="9"/>
  <c r="G21" i="9" s="1"/>
  <c r="G12" i="9"/>
  <c r="E50" i="9" l="1"/>
  <c r="F24" i="9"/>
  <c r="G24" i="9" s="1"/>
  <c r="G16" i="9"/>
  <c r="Q34" i="3" l="1"/>
  <c r="Q40" i="3" s="1"/>
  <c r="P34" i="3" l="1"/>
  <c r="P40" i="3" s="1"/>
  <c r="O34" i="3"/>
  <c r="O40" i="3" s="1"/>
  <c r="N34" i="3"/>
  <c r="N40" i="3" s="1"/>
  <c r="M34" i="3"/>
  <c r="M40" i="3" s="1"/>
  <c r="H34" i="3" l="1"/>
  <c r="I34" i="3" l="1"/>
  <c r="L34" i="3" l="1"/>
  <c r="L40" i="3" s="1"/>
  <c r="K34" i="3"/>
  <c r="K40" i="3" s="1"/>
  <c r="G34" i="3"/>
  <c r="F34" i="3"/>
  <c r="C34" i="3"/>
  <c r="C22" i="2" l="1"/>
  <c r="D22" i="2"/>
</calcChain>
</file>

<file path=xl/comments1.xml><?xml version="1.0" encoding="utf-8"?>
<comments xmlns="http://schemas.openxmlformats.org/spreadsheetml/2006/main">
  <authors>
    <author>Friedrich Jakub Ing.</author>
  </authors>
  <commentList>
    <comment ref="B28" authorId="0" shapeId="0">
      <text>
        <r>
          <rPr>
            <b/>
            <sz val="9"/>
            <color indexed="81"/>
            <rFont val="Tahoma"/>
            <family val="2"/>
            <charset val="238"/>
          </rPr>
          <t>Friedrich Jakub Ing.:</t>
        </r>
        <r>
          <rPr>
            <sz val="9"/>
            <color indexed="81"/>
            <rFont val="Tahoma"/>
            <family val="2"/>
            <charset val="238"/>
          </rPr>
          <t xml:space="preserve"> pro rok 2019 nebylo vyplněno</t>
        </r>
      </text>
    </comment>
    <comment ref="F53" authorId="0" shapeId="0">
      <text>
        <r>
          <rPr>
            <b/>
            <sz val="9"/>
            <color indexed="81"/>
            <rFont val="Tahoma"/>
            <family val="2"/>
            <charset val="238"/>
          </rPr>
          <t>Friedrich Jakub Ing.:</t>
        </r>
        <r>
          <rPr>
            <sz val="9"/>
            <color indexed="81"/>
            <rFont val="Tahoma"/>
            <family val="2"/>
            <charset val="238"/>
          </rPr>
          <t xml:space="preserve">
v minulém orce zadány poloviční hodnoty</t>
        </r>
      </text>
    </comment>
  </commentList>
</comments>
</file>

<file path=xl/sharedStrings.xml><?xml version="1.0" encoding="utf-8"?>
<sst xmlns="http://schemas.openxmlformats.org/spreadsheetml/2006/main" count="1240" uniqueCount="386">
  <si>
    <t>Ekonomická fakulta</t>
  </si>
  <si>
    <t>Filozofická fakulta</t>
  </si>
  <si>
    <t>Fakulta rybářství a ochrany vod</t>
  </si>
  <si>
    <t>Pedagogická fakulta</t>
  </si>
  <si>
    <t>Přírodovědecká fakulta</t>
  </si>
  <si>
    <t>Teologická fakulta</t>
  </si>
  <si>
    <t>Zdravotně sociální fakulta</t>
  </si>
  <si>
    <t>Zemědělská fakulta</t>
  </si>
  <si>
    <t>Celkem</t>
  </si>
  <si>
    <t xml:space="preserve">Dotace na RVO ve výši dané Rozhodnutím o poskytnutí dotace MŠMT </t>
  </si>
  <si>
    <t>celkem fakulty</t>
  </si>
  <si>
    <t>xxx</t>
  </si>
  <si>
    <t>rok 2018</t>
  </si>
  <si>
    <t>rok 2019</t>
  </si>
  <si>
    <t>EF</t>
  </si>
  <si>
    <t>FF</t>
  </si>
  <si>
    <t>FROV</t>
  </si>
  <si>
    <t>PF</t>
  </si>
  <si>
    <t>TF</t>
  </si>
  <si>
    <t>ZF</t>
  </si>
  <si>
    <t>ZSF</t>
  </si>
  <si>
    <t>kritérium 2
mobility</t>
  </si>
  <si>
    <t>kritérium 3
Graduation rate</t>
  </si>
  <si>
    <t>kritérium 4
externí příjmy</t>
  </si>
  <si>
    <t>ukazatel K 2019</t>
  </si>
  <si>
    <t>1.1 Objemy A JU</t>
  </si>
  <si>
    <t>příspěvek A+K 2019</t>
  </si>
  <si>
    <t>2 Dotace na RVO</t>
  </si>
  <si>
    <t>Porovnání v letech</t>
  </si>
  <si>
    <t>3 Rekapituace</t>
  </si>
  <si>
    <t>KaM JU</t>
  </si>
  <si>
    <t>celkem</t>
  </si>
  <si>
    <t>1.2 Objemy K JU</t>
  </si>
  <si>
    <t>z ukazatele A</t>
  </si>
  <si>
    <t>z ukazatele K</t>
  </si>
  <si>
    <t>3.2 Podíl součástí JU na financování R a AK JU</t>
  </si>
  <si>
    <t>tab 1.1 - Příspěvek  - Fixní část RO I (ukazatel A) 2020; výpočet podílu fakult JU podle metodiky JU</t>
  </si>
  <si>
    <t>Objem prostředků fixní části 2020</t>
  </si>
  <si>
    <t>Fakulta</t>
  </si>
  <si>
    <t>Podíl na fixní části</t>
  </si>
  <si>
    <t>Podíl na fixní části - 90%</t>
  </si>
  <si>
    <t>Objem prostředků variabilní části 2020</t>
  </si>
  <si>
    <t>Podíl na variabilní části - 10%</t>
  </si>
  <si>
    <t xml:space="preserve">Podíl na variabilní části </t>
  </si>
  <si>
    <t>tab 1.2 - Příspěvek  - Výkonová část RO I (ukazatel K) 2020; výpočet objemu výkonové části pro jednotlivé fakulty JU</t>
  </si>
  <si>
    <t>Podíl fixní části - 70%</t>
  </si>
  <si>
    <t>Podíl variabilní části - 30%</t>
  </si>
  <si>
    <t xml:space="preserve">kritérium 1
DKRVO </t>
  </si>
  <si>
    <t>kritérium 6
pedagogové a vědci cizinci</t>
  </si>
  <si>
    <t>kritérium 5
publikující</t>
  </si>
  <si>
    <t>Porovnání s rokem 2019</t>
  </si>
  <si>
    <t>ukazatel K 2020</t>
  </si>
  <si>
    <t>Objem prostředků  CELKEM 2020</t>
  </si>
  <si>
    <t>Objem prostředků CELKEM 2019</t>
  </si>
  <si>
    <t>Objem prostředků příspěvku "A" (po odečtení FSP) 2019</t>
  </si>
  <si>
    <t>Objem prostředků příspěvku "A" (po odečtení FSP) 2018</t>
  </si>
  <si>
    <t>Objem prostředků příspěvku "A" (CELKEM) 2020</t>
  </si>
  <si>
    <t>Do FSP JU - 5 % "A"</t>
  </si>
  <si>
    <t>Metodika JU - 95 % "A" (po odečtení FSP)</t>
  </si>
  <si>
    <t xml:space="preserve">Objem prostředků variabilní části 2020 </t>
  </si>
  <si>
    <t>Ukazatel "K" 2020 CELKEM</t>
  </si>
  <si>
    <t>Podíl na variabilní části</t>
  </si>
  <si>
    <t>Částka "K" pro rok 2020:</t>
  </si>
  <si>
    <t>5 % z "K" do FSP</t>
  </si>
  <si>
    <t>95 % z "K" k rozdělení</t>
  </si>
  <si>
    <t>Částka "K" pro rok 2019:</t>
  </si>
  <si>
    <t>"A+K" k rozdělení CELKEM</t>
  </si>
  <si>
    <t>"FSP"</t>
  </si>
  <si>
    <t>Příspěvek "A" 2020 - k rozdělení</t>
  </si>
  <si>
    <t>Příspěvek "K" 2020 - k rozdělení</t>
  </si>
  <si>
    <t>Příspěvek "A+K" CELKEM</t>
  </si>
  <si>
    <t>tab 1.3 - Příspěvek A+K 2020</t>
  </si>
  <si>
    <t>ukazatel A 2020</t>
  </si>
  <si>
    <t>příspěvek A+K celkem 2020</t>
  </si>
  <si>
    <t>příspěvek A+K 2020</t>
  </si>
  <si>
    <t>Příspěvek A+K 2018</t>
  </si>
  <si>
    <t>Nárůst (2019-2020)</t>
  </si>
  <si>
    <t>PŘF</t>
  </si>
  <si>
    <t>rok 2020</t>
  </si>
  <si>
    <t>Fond mimořádných aktivit ve VaV</t>
  </si>
  <si>
    <t>Episteme</t>
  </si>
  <si>
    <t>K rozdělení</t>
  </si>
  <si>
    <t>Mimořádné RVO - 3,5%</t>
  </si>
  <si>
    <t>Episteme - 0,5%</t>
  </si>
  <si>
    <t>Výzkumné infrastruktury - 6,5%</t>
  </si>
  <si>
    <t xml:space="preserve">Výzkumné infrastruktury </t>
  </si>
  <si>
    <t>tab 2 - Návrh na rozdělení disponibilního objemu dotace na rozvoj výzkumné organizace (RVO) pro rok 2020</t>
  </si>
  <si>
    <t>Publikační výkon</t>
  </si>
  <si>
    <t>Akademická knihovna - 2,0%</t>
  </si>
  <si>
    <t>Dle podílů v roce 2019</t>
  </si>
  <si>
    <t xml:space="preserve">Fakulta </t>
  </si>
  <si>
    <t>objem grantů 2015-2019</t>
  </si>
  <si>
    <t>BIBLIO</t>
  </si>
  <si>
    <t>NEBIBLIO</t>
  </si>
  <si>
    <t>počet grantů 2015-2019</t>
  </si>
  <si>
    <t>počet aktivních excelentních grantů 2019</t>
  </si>
  <si>
    <t>RUV bodové hodnocení (2014-2018)</t>
  </si>
  <si>
    <t>CELKEM fakulty</t>
  </si>
  <si>
    <t>počet indi grantů GA JU 2015-2019</t>
  </si>
  <si>
    <t>Objem grantů (2015-2019)</t>
  </si>
  <si>
    <t>Počet grantů (2015-2019)</t>
  </si>
  <si>
    <t>Počet indi grantů GA JU (2015-2019)</t>
  </si>
  <si>
    <t>Počet excelentních grantů (2019)</t>
  </si>
  <si>
    <t>RUV bodové hodnocení</t>
  </si>
  <si>
    <t>k rozdělení RVO celkem</t>
  </si>
  <si>
    <t>výzkumné infrastrukt.</t>
  </si>
  <si>
    <t>publikační výkon</t>
  </si>
  <si>
    <t>dle podílů v roce 2019</t>
  </si>
  <si>
    <t>publikační výkon                 (2016-2017)</t>
  </si>
  <si>
    <t>dle podílů DKRVO 2019</t>
  </si>
  <si>
    <t>RVO 2020 celkem</t>
  </si>
  <si>
    <t>Mimořádné RVO</t>
  </si>
  <si>
    <t>Akademická kniovna</t>
  </si>
  <si>
    <t>CELKEM</t>
  </si>
  <si>
    <t xml:space="preserve">dotace RVO 2018 </t>
  </si>
  <si>
    <t xml:space="preserve">dotace RVO 2019 </t>
  </si>
  <si>
    <t xml:space="preserve">dotace RVO 2020 </t>
  </si>
  <si>
    <t>tab 3 - Příspěvek  - Výkonová a fixní část RO I - 2020; institucionální podpora DKRVO 2020; návrh rozdělení</t>
  </si>
  <si>
    <t>ukazatel A 2020
návrh</t>
  </si>
  <si>
    <t>ukazatel K 2020 návrh</t>
  </si>
  <si>
    <t>příspěvek A+K celkem 2020
návrh</t>
  </si>
  <si>
    <t>dotace RVO 2020
návrh</t>
  </si>
  <si>
    <t>institucionální prostředky 2020 celkem</t>
  </si>
  <si>
    <t>3.1 Vývoj institucionálních zdrojů celkem (příspěvku A + K  a dotace na DKRVO) v letech 2018 až 2020</t>
  </si>
  <si>
    <t>Nárůst 2019-2020</t>
  </si>
  <si>
    <t>3.3 Disponibilní prostředky fakult 2020 ve srovnání s roky 2019 a 2018 (bez prostředků FSP)</t>
  </si>
  <si>
    <t>1.3 A+K 2020 final</t>
  </si>
  <si>
    <t>tab 3 - Příspěvek  - Výkonová a fixní část RO I - 2020; institucionální podpora RVO 2020; návrh rozdělení</t>
  </si>
  <si>
    <t>rozpočítáno dle poměrů předchozího roku</t>
  </si>
  <si>
    <t>rozpočítáno dle počtu studentů ve SDS a přepočtené KENem k 15.5.2019</t>
  </si>
  <si>
    <t>rozpočítáno dle metodiky JU</t>
  </si>
  <si>
    <t>Objem prostředků CELKEM 2020</t>
  </si>
  <si>
    <t>Alokace nákladů R a AK 2020 v základním návrhu ve výši Kč 103.518.600,--</t>
  </si>
  <si>
    <t>Součást</t>
  </si>
  <si>
    <t>Nákladové středisko</t>
  </si>
  <si>
    <t>Poznámka k NS</t>
  </si>
  <si>
    <t>Odpovídající číslo NS z IS i FIS</t>
  </si>
  <si>
    <r>
      <t>Plocha (m</t>
    </r>
    <r>
      <rPr>
        <vertAlign val="superscript"/>
        <sz val="8"/>
        <color theme="0"/>
        <rFont val="Arial"/>
        <family val="2"/>
        <charset val="238"/>
      </rPr>
      <t>2</t>
    </r>
    <r>
      <rPr>
        <sz val="8"/>
        <color theme="0"/>
        <rFont val="Arial"/>
        <family val="2"/>
        <charset val="238"/>
      </rPr>
      <t>) (AMI)</t>
    </r>
  </si>
  <si>
    <t>Fyzický počet zaměstnanců k 31.12.2019</t>
  </si>
  <si>
    <t>Průměrný evidenční přepočtený počet zaměstnanců 2019</t>
  </si>
  <si>
    <t>Počet studentů prezenčního studia - SIMS k 31.12.2019</t>
  </si>
  <si>
    <t>Počet studentů kombin. studia - SIMS k 31.12.2019</t>
  </si>
  <si>
    <t>Počet grantů (předchozích 5 let - 2015 až 2019)</t>
  </si>
  <si>
    <t>Objem grantů (předchozích 5 let - 2015 až 2019) v tis. Kč</t>
  </si>
  <si>
    <t>přepočtené úvazky na vědu a výzkum 2019</t>
  </si>
  <si>
    <t>Přímé náklady osobní</t>
  </si>
  <si>
    <t>Přímé náklady věcné</t>
  </si>
  <si>
    <t>odpisy</t>
  </si>
  <si>
    <t>Přímé náklady CELKEM vč. odpisů</t>
  </si>
  <si>
    <t>Přímé náklady CELKEM bez odpisů</t>
  </si>
  <si>
    <t>Nesouvisející náklady (nevstupují do modelu full-cost)</t>
  </si>
  <si>
    <t>kontrola součtu přímých nákladů pro NS</t>
  </si>
  <si>
    <t>Součet nákladů pro rozpad SUB</t>
  </si>
  <si>
    <r>
      <t>Krok 2                                           rozpad SUB bez odpisů (m</t>
    </r>
    <r>
      <rPr>
        <b/>
        <vertAlign val="superscript"/>
        <sz val="8"/>
        <rFont val="Arial"/>
        <family val="2"/>
        <charset val="238"/>
      </rPr>
      <t>2</t>
    </r>
    <r>
      <rPr>
        <b/>
        <sz val="8"/>
        <rFont val="Arial"/>
        <family val="2"/>
        <charset val="238"/>
      </rPr>
      <t>)</t>
    </r>
  </si>
  <si>
    <t xml:space="preserve">Součet nákladů pro rozpad ICT </t>
  </si>
  <si>
    <t>Krok 3                            Rozpad ICT (celkový počet zaměstnanci + studenti (P+0,5K)</t>
  </si>
  <si>
    <t>Součet nákladů pro rozpad kancelář rektora</t>
  </si>
  <si>
    <t>Krok 4                            Rozpad kanceláře rektora (PEP)</t>
  </si>
  <si>
    <t>Součet nákladů pro rozpad ostatní oddělení rektorátu</t>
  </si>
  <si>
    <t>Krok 5                    rozpad ostatních oddělení REK (PEP)</t>
  </si>
  <si>
    <t>Součet nákladů pro rozpad knihovna (celkový počet zaměstnanci + studenti (P+0,5K)</t>
  </si>
  <si>
    <t>Krok 6                   rozpad Knihovny</t>
  </si>
  <si>
    <t>Součet nákladů pro rozpad VaV (úvazky na VaV, granty)</t>
  </si>
  <si>
    <t>Krok 7                   rozpad VaV</t>
  </si>
  <si>
    <t>CELKEM                        (přímé + nepřímé) náklady konečný rozpad</t>
  </si>
  <si>
    <t>Rektorát</t>
  </si>
  <si>
    <t>NÁKLADY NA SPRÁVU BUDOV</t>
  </si>
  <si>
    <t xml:space="preserve">Útvar správy a údržby budov </t>
  </si>
  <si>
    <t>010107</t>
  </si>
  <si>
    <t>x</t>
  </si>
  <si>
    <t>Součet SUB</t>
  </si>
  <si>
    <t>NÁKLADY NA ICT</t>
  </si>
  <si>
    <t>Celoškolská pracoviště</t>
  </si>
  <si>
    <t>Centrum informačních technologií</t>
  </si>
  <si>
    <t>0104xx</t>
  </si>
  <si>
    <t>Součet  ICT</t>
  </si>
  <si>
    <t>NÁKLADY "KANCELÁŘ REKTORA"</t>
  </si>
  <si>
    <t>Kancelář rektora vč. autoprovozu a personálního útvaru</t>
  </si>
  <si>
    <t>010100, 010200</t>
  </si>
  <si>
    <t>Součet KR</t>
  </si>
  <si>
    <t>NÁKLADY OSTATNÍ ÚSEKŮ REKTORÁTU</t>
  </si>
  <si>
    <t>Útvar pro vnitřní hodnocení</t>
  </si>
  <si>
    <t>010119</t>
  </si>
  <si>
    <t>Zahraniční vztahy</t>
  </si>
  <si>
    <t>010102</t>
  </si>
  <si>
    <t>Útvar projektový</t>
  </si>
  <si>
    <t>010103</t>
  </si>
  <si>
    <t>Útvar pro strategii a rozvoj</t>
  </si>
  <si>
    <t>010124</t>
  </si>
  <si>
    <t>Kvestor</t>
  </si>
  <si>
    <t>010105</t>
  </si>
  <si>
    <t xml:space="preserve">Ekonomický odbor </t>
  </si>
  <si>
    <t>010106</t>
  </si>
  <si>
    <t xml:space="preserve">Studium a CŽV </t>
  </si>
  <si>
    <t>010108,9</t>
  </si>
  <si>
    <t>Marketing</t>
  </si>
  <si>
    <t>010112</t>
  </si>
  <si>
    <t>Právní útvar</t>
  </si>
  <si>
    <t>010115</t>
  </si>
  <si>
    <t>Veřejné zakázky</t>
  </si>
  <si>
    <t>010110</t>
  </si>
  <si>
    <t xml:space="preserve">Investiční odbor </t>
  </si>
  <si>
    <t>010300</t>
  </si>
  <si>
    <t>podatelna</t>
  </si>
  <si>
    <t>010117</t>
  </si>
  <si>
    <t>ostatní (BC, GC, údržba areálu)</t>
  </si>
  <si>
    <t>plocha v nájmu</t>
  </si>
  <si>
    <t>010800</t>
  </si>
  <si>
    <t>Součet OOR</t>
  </si>
  <si>
    <t>NÁKLADY KNIHOVNA</t>
  </si>
  <si>
    <t>Akademická knihovna JU</t>
  </si>
  <si>
    <t>010900,600</t>
  </si>
  <si>
    <t>Součet KNIHOVNA</t>
  </si>
  <si>
    <t>NÁKLADY VaV</t>
  </si>
  <si>
    <t>Oddělení VaV</t>
  </si>
  <si>
    <t>TA 103 a 104</t>
  </si>
  <si>
    <t>010104</t>
  </si>
  <si>
    <t>ostatní podpora VaV</t>
  </si>
  <si>
    <t>KTT</t>
  </si>
  <si>
    <t>010118</t>
  </si>
  <si>
    <t>Součet VaV</t>
  </si>
  <si>
    <t>Součet</t>
  </si>
  <si>
    <t>NÁKLADY KONCOVÝCH STŘEDISEK (rektorátu - BC, GZ - a fakult)</t>
  </si>
  <si>
    <t>Britské centrum</t>
  </si>
  <si>
    <t>010510</t>
  </si>
  <si>
    <t>Goethe Zentrum</t>
  </si>
  <si>
    <t>010520</t>
  </si>
  <si>
    <t>12xxxx</t>
  </si>
  <si>
    <t>11xxxx</t>
  </si>
  <si>
    <t>09xxxx</t>
  </si>
  <si>
    <t>03xxxx</t>
  </si>
  <si>
    <t>06xxxx</t>
  </si>
  <si>
    <t>04xxxx</t>
  </si>
  <si>
    <t>07xxxx</t>
  </si>
  <si>
    <t>05xxxx</t>
  </si>
  <si>
    <t>Koleje a menzy</t>
  </si>
  <si>
    <t>02xxxx</t>
  </si>
  <si>
    <t xml:space="preserve">Součet </t>
  </si>
  <si>
    <t>KONTROLNÍ SOUČET</t>
  </si>
  <si>
    <t>Kontrolní součet:</t>
  </si>
  <si>
    <t>Požadavky na financování rektorátu a AK JU v roce 2020</t>
  </si>
  <si>
    <t>P O Ž A D A V K Y   N A   R O K   2 0 2 0</t>
  </si>
  <si>
    <t>Požadavky na rok 2019 celkem</t>
  </si>
  <si>
    <t>Středisko</t>
  </si>
  <si>
    <t>popis rozpočtového úseku</t>
  </si>
  <si>
    <t>označení akce v IS</t>
  </si>
  <si>
    <t>požadavky na rok 2020 celkem</t>
  </si>
  <si>
    <t>požadavky vstupující do rozpadu 2020</t>
  </si>
  <si>
    <t>požadavky na krytí z vl.zdrojů 2020</t>
  </si>
  <si>
    <t>požadavky na fond (FPP) 2020</t>
  </si>
  <si>
    <t>požadavky na rok 2019 celkem</t>
  </si>
  <si>
    <t>požadavky vstupující do rozpadu 2019</t>
  </si>
  <si>
    <t>požadavky kryté vl.zdroji R 2019</t>
  </si>
  <si>
    <t>požadavky na fond 2019</t>
  </si>
  <si>
    <t>010100</t>
  </si>
  <si>
    <t>kancelář rektora</t>
  </si>
  <si>
    <t>01-100 provoz KR</t>
  </si>
  <si>
    <t>osobní náklady rektorátních útvarů</t>
  </si>
  <si>
    <t>01-1001 osobní náklady</t>
  </si>
  <si>
    <t>zahraniční útvar</t>
  </si>
  <si>
    <t>01-102 provoz ZO</t>
  </si>
  <si>
    <t>útvar rozvoje</t>
  </si>
  <si>
    <t>01-103 provoz OR</t>
  </si>
  <si>
    <t>útvar VaV</t>
  </si>
  <si>
    <t>01-104 provoz VaV</t>
  </si>
  <si>
    <t>sekretariát kvestora</t>
  </si>
  <si>
    <t>01-105 provoz sekr. kvest.</t>
  </si>
  <si>
    <t>ekonomický odbor</t>
  </si>
  <si>
    <t>01-106 provoz EKO a další (spol. nákl. R)</t>
  </si>
  <si>
    <t>správa  údržba budov</t>
  </si>
  <si>
    <t>01-107 provoz SÚB</t>
  </si>
  <si>
    <t>010108</t>
  </si>
  <si>
    <t>útvar pro studium</t>
  </si>
  <si>
    <t>01-108 provoz OSČ</t>
  </si>
  <si>
    <t>010109</t>
  </si>
  <si>
    <t>útvar pro CŽV</t>
  </si>
  <si>
    <t>01-109 provoz OCŽV</t>
  </si>
  <si>
    <t>útvar veřejných zakázek</t>
  </si>
  <si>
    <t>01-110 provoz oddělení VZ</t>
  </si>
  <si>
    <t>útvar marketingu</t>
  </si>
  <si>
    <t>01-112 provoz útvaru marketingu</t>
  </si>
  <si>
    <t>010113</t>
  </si>
  <si>
    <t>útvar inter.auditu a kontroly</t>
  </si>
  <si>
    <t>01-113 provoz útvaru inter.aud. a kontr.</t>
  </si>
  <si>
    <t>právní útvar</t>
  </si>
  <si>
    <t>01-115 provoz právního útvaru</t>
  </si>
  <si>
    <t>010116</t>
  </si>
  <si>
    <t>personální útvar</t>
  </si>
  <si>
    <t>01-116 provoz personálního útvaru</t>
  </si>
  <si>
    <t>útvaru spisové služby a podatelny</t>
  </si>
  <si>
    <t>01-117 provoz útvaru SPSL a podatelny</t>
  </si>
  <si>
    <t>Kancelář transferu technologií</t>
  </si>
  <si>
    <t>01-118 provoz KTT</t>
  </si>
  <si>
    <t>útvar pro vnitřní hodnocení</t>
  </si>
  <si>
    <t>01-119 provoz útvaru pro vnitř.hodnocení</t>
  </si>
  <si>
    <t>útvar pro strategii a rozvoj</t>
  </si>
  <si>
    <t>01-124 provoz ÚSR</t>
  </si>
  <si>
    <t>010200</t>
  </si>
  <si>
    <t>útvar dopravy</t>
  </si>
  <si>
    <t>01-200 provoz dopravy</t>
  </si>
  <si>
    <t>energetický management</t>
  </si>
  <si>
    <t>01-300 energetický management</t>
  </si>
  <si>
    <t>investiční odbor</t>
  </si>
  <si>
    <t>01-300 provoz inv.odd.</t>
  </si>
  <si>
    <t>energetické služby EPC (úspora energií)</t>
  </si>
  <si>
    <t>útvar správy nemovitostí</t>
  </si>
  <si>
    <t>01-3002 správa nemovitostí</t>
  </si>
  <si>
    <t>010400</t>
  </si>
  <si>
    <t>společná pracoviště CIT</t>
  </si>
  <si>
    <t>01-400 spol.provoz CIT (APS,SIS,IPS)</t>
  </si>
  <si>
    <t>Helpdesk CIT</t>
  </si>
  <si>
    <t>01-4002 Helpdesk CIT</t>
  </si>
  <si>
    <t>01-551 odpisy</t>
  </si>
  <si>
    <t>odpisy AK JU</t>
  </si>
  <si>
    <t>010600</t>
  </si>
  <si>
    <t>prodejna skript - z rozpočtu AK JU</t>
  </si>
  <si>
    <t>01-600 provoz prodejny</t>
  </si>
  <si>
    <t>010900</t>
  </si>
  <si>
    <t>AK JU</t>
  </si>
  <si>
    <t>01-900 provoz AK JU</t>
  </si>
  <si>
    <t>osobní náklady AK JU</t>
  </si>
  <si>
    <t>01-9001 osobní náklady</t>
  </si>
  <si>
    <t>právní služby</t>
  </si>
  <si>
    <t>11 Právní služby</t>
  </si>
  <si>
    <t>údržba areálu JU</t>
  </si>
  <si>
    <t>11-01 Údržba areálu</t>
  </si>
  <si>
    <t>celouniverzitní akce</t>
  </si>
  <si>
    <t>11-0400 Celouniverzitní akce</t>
  </si>
  <si>
    <t>daňové poradenství a účetní audit (2016)</t>
  </si>
  <si>
    <t>11-0401 Daňové a porad. služby</t>
  </si>
  <si>
    <t>Správní rada</t>
  </si>
  <si>
    <t>11-0408 Správní rada</t>
  </si>
  <si>
    <t>telefonní sítě JU</t>
  </si>
  <si>
    <t>11-06 Telef.ústředna</t>
  </si>
  <si>
    <t>marketing - Reklamní kampaně</t>
  </si>
  <si>
    <t>11-112- reklamní kampaně</t>
  </si>
  <si>
    <t>marketing - časopis Journal</t>
  </si>
  <si>
    <t>11-112-časopis Journal</t>
  </si>
  <si>
    <t>marketing - fotobanka, videobanka</t>
  </si>
  <si>
    <t>11-112-fotobanka, videobanka</t>
  </si>
  <si>
    <t>marketing - Monitoring a analýzy</t>
  </si>
  <si>
    <t>11-112-monitoring a analýzy</t>
  </si>
  <si>
    <t>marketing - ostatní</t>
  </si>
  <si>
    <t>11-112-ostatní</t>
  </si>
  <si>
    <t>marketing - ples JU</t>
  </si>
  <si>
    <t>11-112-ples JU</t>
  </si>
  <si>
    <t>marketing - Propagační předměty</t>
  </si>
  <si>
    <t>11-112-Propagační předměty</t>
  </si>
  <si>
    <t>marketing - společenské akce</t>
  </si>
  <si>
    <t>11-112-společenské akce</t>
  </si>
  <si>
    <t>marketing - Veletrhy a výstavy</t>
  </si>
  <si>
    <t>11-112-veletrhy a výstavy</t>
  </si>
  <si>
    <t>pojištění JU</t>
  </si>
  <si>
    <t>11-18 Pojištění JU</t>
  </si>
  <si>
    <t>Celouniverzitní financování</t>
  </si>
  <si>
    <t>11-Celouniverzitní financování</t>
  </si>
  <si>
    <t>Ostatní provoz REK</t>
  </si>
  <si>
    <t>11-Ostatní provoz REK</t>
  </si>
  <si>
    <t>finanční informační systém</t>
  </si>
  <si>
    <t>13-01 FIS</t>
  </si>
  <si>
    <t>připojení k sítí CESNET - část vzděláv.</t>
  </si>
  <si>
    <t>13-02 CESNET</t>
  </si>
  <si>
    <t>software a sítě JU</t>
  </si>
  <si>
    <t>13-03 Software a sítě JU</t>
  </si>
  <si>
    <t>studijní IS STAG</t>
  </si>
  <si>
    <t>13-06 STAG</t>
  </si>
  <si>
    <t>personální a mzdový IS</t>
  </si>
  <si>
    <t>13-13 EGJE</t>
  </si>
  <si>
    <t>Pronájem optických vláken</t>
  </si>
  <si>
    <t>13-15 Pronájem opt.vláken</t>
  </si>
  <si>
    <t>IS pro parportizaci a správu majetku AMI</t>
  </si>
  <si>
    <t>13-16 AMI</t>
  </si>
  <si>
    <t>informační systém pro VaV</t>
  </si>
  <si>
    <t>OBD                                         (KP: 104020)</t>
  </si>
  <si>
    <t>připojení k sítí CESNET - část VaV</t>
  </si>
  <si>
    <t>RVO CESNET                           (KP: 104020)</t>
  </si>
  <si>
    <t>náklady na jednání Vědecké rady JU</t>
  </si>
  <si>
    <t>Vědecká rada JU</t>
  </si>
  <si>
    <t>tab 4 - Návrh R a AK 2020</t>
  </si>
  <si>
    <t>tab 5 - Alokace R a AK 2020</t>
  </si>
  <si>
    <t>5 Alokace R a AK 2020</t>
  </si>
  <si>
    <t>4 Návrh R a AK 2020</t>
  </si>
  <si>
    <t>ukazatel K</t>
  </si>
  <si>
    <t xml:space="preserve"> ukazatel A  </t>
  </si>
  <si>
    <t>3.4 Příspěvek do FSP ve srovnání 2019 a 2020</t>
  </si>
  <si>
    <t xml:space="preserve">AK JU - databáze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</si>
</sst>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164" formatCode="0.0000%"/>
    <numFmt numFmtId="165" formatCode="#,##0\ &quot;Kč&quot;"/>
    <numFmt numFmtId="166" formatCode="#,##0.00\ &quot;Kč&quot;"/>
    <numFmt numFmtId="167" formatCode="#,##0.000"/>
    <numFmt numFmtId="168" formatCode="0.000%"/>
    <numFmt numFmtId="169" formatCode="0.0%"/>
    <numFmt numFmtId="170" formatCode="mmm\/yyyy"/>
  </numFmts>
  <fonts count="3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1"/>
      <color theme="0"/>
      <name val="Calibri"/>
      <family val="2"/>
      <charset val="238"/>
      <scheme val="minor"/>
    </font>
    <font>
      <b/>
      <u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vertAlign val="superscript"/>
      <sz val="8"/>
      <color theme="0"/>
      <name val="Arial"/>
      <family val="2"/>
      <charset val="238"/>
    </font>
    <font>
      <sz val="8"/>
      <color theme="0"/>
      <name val="Arial"/>
      <family val="2"/>
      <charset val="238"/>
    </font>
    <font>
      <b/>
      <sz val="8"/>
      <color rgb="FFFF0000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  <font>
      <sz val="8"/>
      <name val="Arial"/>
      <family val="2"/>
      <charset val="238"/>
    </font>
    <font>
      <sz val="8"/>
      <color rgb="FFFF0000"/>
      <name val="Arial"/>
      <family val="2"/>
      <charset val="238"/>
    </font>
    <font>
      <sz val="6.5"/>
      <color theme="0" tint="-0.34998626667073579"/>
      <name val="Arial"/>
      <family val="2"/>
      <charset val="238"/>
    </font>
    <font>
      <sz val="8"/>
      <color theme="0" tint="-0.34998626667073579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</fonts>
  <fills count="27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rgb="FF0099CD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8" tint="0.39997558519241921"/>
        <bgColor indexed="64"/>
      </patternFill>
    </fill>
  </fills>
  <borders count="9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auto="1"/>
      </top>
      <bottom style="hair">
        <color auto="1"/>
      </bottom>
      <diagonal/>
    </border>
    <border>
      <left style="thin">
        <color indexed="55"/>
      </left>
      <right style="thin">
        <color indexed="9"/>
      </right>
      <top style="thin">
        <color indexed="55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/>
      <diagonal/>
    </border>
    <border>
      <left style="thin">
        <color theme="0"/>
      </left>
      <right/>
      <top style="thin">
        <color theme="0" tint="-0.24994659260841701"/>
      </top>
      <bottom/>
      <diagonal/>
    </border>
    <border>
      <left style="thin">
        <color rgb="FF0099CD"/>
      </left>
      <right style="thin">
        <color theme="0"/>
      </right>
      <top style="thin">
        <color rgb="FF0099CD"/>
      </top>
      <bottom/>
      <diagonal/>
    </border>
    <border>
      <left style="thin">
        <color theme="0"/>
      </left>
      <right style="thin">
        <color rgb="FF003366"/>
      </right>
      <top style="thin">
        <color rgb="FF0099CD"/>
      </top>
      <bottom/>
      <diagonal/>
    </border>
    <border>
      <left style="thin">
        <color theme="0"/>
      </left>
      <right style="thin">
        <color theme="0"/>
      </right>
      <top style="thin">
        <color rgb="FF003366"/>
      </top>
      <bottom/>
      <diagonal/>
    </border>
    <border>
      <left style="thin">
        <color indexed="9"/>
      </left>
      <right style="thin">
        <color indexed="9"/>
      </right>
      <top style="thin">
        <color indexed="56"/>
      </top>
      <bottom/>
      <diagonal/>
    </border>
    <border>
      <left style="thin">
        <color theme="0"/>
      </left>
      <right/>
      <top style="thin">
        <color rgb="FF003366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3" fillId="0" borderId="0"/>
    <xf numFmtId="0" fontId="3" fillId="0" borderId="0"/>
    <xf numFmtId="9" fontId="1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11" fillId="0" borderId="0"/>
    <xf numFmtId="0" fontId="1" fillId="0" borderId="0"/>
  </cellStyleXfs>
  <cellXfs count="553">
    <xf numFmtId="0" fontId="0" fillId="0" borderId="0" xfId="0"/>
    <xf numFmtId="0" fontId="4" fillId="0" borderId="0" xfId="2" applyFont="1"/>
    <xf numFmtId="0" fontId="5" fillId="0" borderId="0" xfId="0" applyFont="1"/>
    <xf numFmtId="0" fontId="6" fillId="0" borderId="0" xfId="2" applyFont="1"/>
    <xf numFmtId="0" fontId="7" fillId="0" borderId="0" xfId="2" applyFont="1"/>
    <xf numFmtId="0" fontId="1" fillId="0" borderId="0" xfId="0" applyFont="1"/>
    <xf numFmtId="0" fontId="1" fillId="0" borderId="0" xfId="0" applyFont="1" applyFill="1"/>
    <xf numFmtId="0" fontId="0" fillId="0" borderId="0" xfId="0" applyFont="1"/>
    <xf numFmtId="0" fontId="0" fillId="0" borderId="0" xfId="0" applyFont="1" applyFill="1"/>
    <xf numFmtId="0" fontId="2" fillId="0" borderId="0" xfId="0" applyFont="1"/>
    <xf numFmtId="0" fontId="8" fillId="0" borderId="0" xfId="0" applyFont="1"/>
    <xf numFmtId="0" fontId="6" fillId="0" borderId="0" xfId="0" applyFont="1"/>
    <xf numFmtId="0" fontId="7" fillId="0" borderId="0" xfId="0" applyFont="1"/>
    <xf numFmtId="166" fontId="0" fillId="0" borderId="0" xfId="0" applyNumberFormat="1"/>
    <xf numFmtId="3" fontId="0" fillId="0" borderId="2" xfId="0" applyNumberFormat="1" applyBorder="1"/>
    <xf numFmtId="3" fontId="0" fillId="0" borderId="0" xfId="0" applyNumberFormat="1"/>
    <xf numFmtId="0" fontId="0" fillId="0" borderId="2" xfId="0" applyBorder="1" applyAlignment="1">
      <alignment horizontal="center"/>
    </xf>
    <xf numFmtId="4" fontId="0" fillId="0" borderId="0" xfId="0" applyNumberFormat="1"/>
    <xf numFmtId="165" fontId="7" fillId="0" borderId="0" xfId="0" applyNumberFormat="1" applyFont="1" applyAlignment="1">
      <alignment horizontal="center"/>
    </xf>
    <xf numFmtId="3" fontId="6" fillId="0" borderId="0" xfId="0" applyNumberFormat="1" applyFont="1"/>
    <xf numFmtId="0" fontId="9" fillId="0" borderId="0" xfId="0" applyFont="1"/>
    <xf numFmtId="3" fontId="1" fillId="0" borderId="0" xfId="0" applyNumberFormat="1" applyFont="1"/>
    <xf numFmtId="165" fontId="6" fillId="0" borderId="0" xfId="0" applyNumberFormat="1" applyFont="1"/>
    <xf numFmtId="3" fontId="2" fillId="0" borderId="2" xfId="0" applyNumberFormat="1" applyFont="1" applyFill="1" applyBorder="1"/>
    <xf numFmtId="0" fontId="4" fillId="0" borderId="0" xfId="5" applyFont="1" applyFill="1" applyBorder="1" applyAlignment="1">
      <alignment vertical="center"/>
    </xf>
    <xf numFmtId="0" fontId="2" fillId="0" borderId="0" xfId="0" applyFont="1" applyFill="1"/>
    <xf numFmtId="3" fontId="1" fillId="0" borderId="2" xfId="0" applyNumberFormat="1" applyFont="1" applyFill="1" applyBorder="1"/>
    <xf numFmtId="4" fontId="1" fillId="0" borderId="0" xfId="0" applyNumberFormat="1" applyFont="1"/>
    <xf numFmtId="0" fontId="0" fillId="0" borderId="0" xfId="0" applyFont="1" applyFill="1" applyBorder="1"/>
    <xf numFmtId="4" fontId="0" fillId="0" borderId="0" xfId="0" applyNumberFormat="1" applyFont="1" applyFill="1"/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2" borderId="2" xfId="0" applyNumberFormat="1" applyFont="1" applyFill="1" applyBorder="1" applyAlignment="1">
      <alignment horizontal="center" wrapText="1"/>
    </xf>
    <xf numFmtId="3" fontId="2" fillId="0" borderId="0" xfId="0" applyNumberFormat="1" applyFont="1" applyFill="1" applyBorder="1"/>
    <xf numFmtId="3" fontId="0" fillId="0" borderId="2" xfId="0" applyNumberFormat="1" applyFill="1" applyBorder="1"/>
    <xf numFmtId="0" fontId="0" fillId="5" borderId="0" xfId="0" applyFill="1"/>
    <xf numFmtId="0" fontId="4" fillId="0" borderId="0" xfId="0" applyFont="1"/>
    <xf numFmtId="4" fontId="4" fillId="0" borderId="0" xfId="0" applyNumberFormat="1" applyFont="1"/>
    <xf numFmtId="0" fontId="0" fillId="4" borderId="0" xfId="0" applyFill="1"/>
    <xf numFmtId="3" fontId="0" fillId="0" borderId="0" xfId="0" applyNumberFormat="1" applyFont="1" applyFill="1" applyBorder="1"/>
    <xf numFmtId="0" fontId="0" fillId="0" borderId="0" xfId="0" applyFont="1" applyFill="1" applyBorder="1" applyAlignment="1">
      <alignment horizontal="left" indent="1"/>
    </xf>
    <xf numFmtId="3" fontId="0" fillId="0" borderId="0" xfId="0" applyNumberFormat="1" applyFont="1" applyFill="1"/>
    <xf numFmtId="165" fontId="0" fillId="0" borderId="0" xfId="0" applyNumberFormat="1" applyFont="1" applyFill="1" applyBorder="1" applyAlignment="1"/>
    <xf numFmtId="0" fontId="0" fillId="0" borderId="0" xfId="0" applyFont="1" applyAlignment="1">
      <alignment horizontal="right"/>
    </xf>
    <xf numFmtId="4" fontId="0" fillId="0" borderId="0" xfId="0" applyNumberFormat="1" applyFont="1"/>
    <xf numFmtId="10" fontId="0" fillId="0" borderId="2" xfId="0" applyNumberFormat="1" applyFont="1" applyFill="1" applyBorder="1" applyAlignment="1">
      <alignment horizontal="right" indent="1"/>
    </xf>
    <xf numFmtId="3" fontId="0" fillId="3" borderId="1" xfId="0" applyNumberFormat="1" applyFont="1" applyFill="1" applyBorder="1" applyAlignment="1">
      <alignment horizontal="right" indent="1"/>
    </xf>
    <xf numFmtId="4" fontId="2" fillId="0" borderId="0" xfId="0" applyNumberFormat="1" applyFont="1"/>
    <xf numFmtId="0" fontId="10" fillId="6" borderId="0" xfId="0" applyFont="1" applyFill="1"/>
    <xf numFmtId="0" fontId="0" fillId="7" borderId="0" xfId="0" applyFill="1"/>
    <xf numFmtId="3" fontId="0" fillId="0" borderId="2" xfId="0" applyNumberFormat="1" applyFont="1" applyFill="1" applyBorder="1"/>
    <xf numFmtId="0" fontId="9" fillId="0" borderId="0" xfId="0" applyFont="1" applyFill="1" applyBorder="1"/>
    <xf numFmtId="0" fontId="2" fillId="0" borderId="0" xfId="0" applyFont="1" applyAlignment="1">
      <alignment horizontal="center"/>
    </xf>
    <xf numFmtId="0" fontId="7" fillId="9" borderId="0" xfId="0" applyFont="1" applyFill="1"/>
    <xf numFmtId="0" fontId="9" fillId="0" borderId="0" xfId="0" applyFont="1" applyFill="1"/>
    <xf numFmtId="0" fontId="2" fillId="2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/>
    <xf numFmtId="10" fontId="1" fillId="0" borderId="2" xfId="0" applyNumberFormat="1" applyFont="1" applyFill="1" applyBorder="1"/>
    <xf numFmtId="10" fontId="1" fillId="0" borderId="0" xfId="0" applyNumberFormat="1" applyFont="1" applyFill="1" applyBorder="1"/>
    <xf numFmtId="10" fontId="0" fillId="0" borderId="0" xfId="3" applyNumberFormat="1" applyFont="1" applyFill="1" applyBorder="1" applyAlignment="1">
      <alignment horizontal="right" vertical="center"/>
    </xf>
    <xf numFmtId="10" fontId="0" fillId="0" borderId="0" xfId="0" applyNumberFormat="1" applyFont="1" applyFill="1" applyBorder="1" applyAlignment="1">
      <alignment horizontal="right" indent="1"/>
    </xf>
    <xf numFmtId="10" fontId="0" fillId="0" borderId="14" xfId="3" applyNumberFormat="1" applyFont="1" applyFill="1" applyBorder="1" applyAlignment="1">
      <alignment horizontal="right" vertical="center"/>
    </xf>
    <xf numFmtId="3" fontId="0" fillId="0" borderId="15" xfId="3" applyNumberFormat="1" applyFont="1" applyFill="1" applyBorder="1" applyAlignment="1">
      <alignment horizontal="right" vertical="center"/>
    </xf>
    <xf numFmtId="10" fontId="7" fillId="0" borderId="14" xfId="3" applyNumberFormat="1" applyFont="1" applyFill="1" applyBorder="1" applyAlignment="1">
      <alignment horizontal="right" vertical="center"/>
    </xf>
    <xf numFmtId="0" fontId="2" fillId="2" borderId="18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4" fontId="0" fillId="2" borderId="14" xfId="0" applyNumberFormat="1" applyFont="1" applyFill="1" applyBorder="1" applyAlignment="1">
      <alignment horizontal="center" wrapText="1"/>
    </xf>
    <xf numFmtId="10" fontId="0" fillId="0" borderId="14" xfId="0" applyNumberFormat="1" applyFont="1" applyFill="1" applyBorder="1" applyAlignment="1">
      <alignment horizontal="right" indent="1"/>
    </xf>
    <xf numFmtId="3" fontId="0" fillId="0" borderId="15" xfId="0" applyNumberFormat="1" applyFont="1" applyFill="1" applyBorder="1" applyAlignment="1">
      <alignment horizontal="right" indent="1"/>
    </xf>
    <xf numFmtId="0" fontId="6" fillId="0" borderId="22" xfId="2" applyFont="1" applyFill="1" applyBorder="1" applyAlignment="1">
      <alignment horizontal="center" vertical="center" wrapText="1"/>
    </xf>
    <xf numFmtId="3" fontId="0" fillId="0" borderId="22" xfId="3" applyNumberFormat="1" applyFont="1" applyFill="1" applyBorder="1" applyAlignment="1">
      <alignment horizontal="right" vertical="center"/>
    </xf>
    <xf numFmtId="3" fontId="2" fillId="0" borderId="22" xfId="0" applyNumberFormat="1" applyFont="1" applyFill="1" applyBorder="1" applyAlignment="1">
      <alignment horizontal="right"/>
    </xf>
    <xf numFmtId="3" fontId="0" fillId="0" borderId="22" xfId="0" applyNumberFormat="1" applyFont="1" applyFill="1" applyBorder="1" applyAlignment="1">
      <alignment horizontal="right" indent="1"/>
    </xf>
    <xf numFmtId="0" fontId="2" fillId="0" borderId="22" xfId="0" applyFont="1" applyFill="1" applyBorder="1" applyAlignment="1">
      <alignment horizontal="center" vertical="center" wrapText="1"/>
    </xf>
    <xf numFmtId="3" fontId="2" fillId="0" borderId="22" xfId="0" applyNumberFormat="1" applyFont="1" applyFill="1" applyBorder="1" applyAlignment="1">
      <alignment horizontal="right" indent="1"/>
    </xf>
    <xf numFmtId="0" fontId="0" fillId="0" borderId="1" xfId="3" applyFont="1" applyFill="1" applyBorder="1" applyAlignment="1">
      <alignment horizontal="left" vertical="center"/>
    </xf>
    <xf numFmtId="0" fontId="7" fillId="0" borderId="1" xfId="3" applyFont="1" applyFill="1" applyBorder="1" applyAlignment="1">
      <alignment horizontal="left" vertical="center"/>
    </xf>
    <xf numFmtId="0" fontId="0" fillId="0" borderId="0" xfId="3" applyFont="1" applyFill="1" applyBorder="1" applyAlignment="1">
      <alignment horizontal="left" vertical="center"/>
    </xf>
    <xf numFmtId="0" fontId="7" fillId="0" borderId="0" xfId="3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3" fontId="2" fillId="2" borderId="18" xfId="0" applyNumberFormat="1" applyFont="1" applyFill="1" applyBorder="1" applyAlignment="1">
      <alignment horizontal="center" vertical="center"/>
    </xf>
    <xf numFmtId="3" fontId="2" fillId="2" borderId="20" xfId="0" applyNumberFormat="1" applyFont="1" applyFill="1" applyBorder="1" applyAlignment="1">
      <alignment horizontal="center" vertical="center"/>
    </xf>
    <xf numFmtId="3" fontId="0" fillId="0" borderId="14" xfId="3" applyNumberFormat="1" applyFont="1" applyFill="1" applyBorder="1" applyAlignment="1">
      <alignment horizontal="right" vertical="center"/>
    </xf>
    <xf numFmtId="3" fontId="7" fillId="0" borderId="14" xfId="3" applyNumberFormat="1" applyFont="1" applyFill="1" applyBorder="1" applyAlignment="1">
      <alignment horizontal="right" vertical="center"/>
    </xf>
    <xf numFmtId="169" fontId="0" fillId="0" borderId="0" xfId="0" applyNumberFormat="1" applyFont="1" applyAlignment="1">
      <alignment horizontal="center"/>
    </xf>
    <xf numFmtId="3" fontId="0" fillId="0" borderId="14" xfId="0" applyNumberFormat="1" applyFont="1" applyBorder="1"/>
    <xf numFmtId="169" fontId="0" fillId="0" borderId="15" xfId="0" applyNumberFormat="1" applyFont="1" applyBorder="1" applyAlignment="1">
      <alignment horizontal="center"/>
    </xf>
    <xf numFmtId="3" fontId="0" fillId="0" borderId="16" xfId="0" applyNumberFormat="1" applyFont="1" applyBorder="1"/>
    <xf numFmtId="169" fontId="0" fillId="0" borderId="17" xfId="0" applyNumberFormat="1" applyFont="1" applyBorder="1" applyAlignment="1">
      <alignment horizontal="center"/>
    </xf>
    <xf numFmtId="3" fontId="0" fillId="10" borderId="5" xfId="0" applyNumberFormat="1" applyFont="1" applyFill="1" applyBorder="1"/>
    <xf numFmtId="169" fontId="0" fillId="10" borderId="7" xfId="0" applyNumberFormat="1" applyFont="1" applyFill="1" applyBorder="1" applyAlignment="1">
      <alignment horizontal="center"/>
    </xf>
    <xf numFmtId="10" fontId="0" fillId="0" borderId="29" xfId="0" applyNumberFormat="1" applyFont="1" applyFill="1" applyBorder="1" applyAlignment="1">
      <alignment horizontal="right" indent="1"/>
    </xf>
    <xf numFmtId="10" fontId="0" fillId="0" borderId="30" xfId="0" applyNumberFormat="1" applyFont="1" applyFill="1" applyBorder="1" applyAlignment="1">
      <alignment horizontal="right" indent="1"/>
    </xf>
    <xf numFmtId="3" fontId="0" fillId="0" borderId="31" xfId="0" applyNumberFormat="1" applyFont="1" applyFill="1" applyBorder="1" applyAlignment="1">
      <alignment horizontal="right" indent="1"/>
    </xf>
    <xf numFmtId="10" fontId="2" fillId="2" borderId="32" xfId="0" applyNumberFormat="1" applyFont="1" applyFill="1" applyBorder="1" applyAlignment="1">
      <alignment horizontal="right"/>
    </xf>
    <xf numFmtId="10" fontId="2" fillId="2" borderId="33" xfId="0" applyNumberFormat="1" applyFont="1" applyFill="1" applyBorder="1" applyAlignment="1">
      <alignment horizontal="right"/>
    </xf>
    <xf numFmtId="3" fontId="2" fillId="2" borderId="34" xfId="0" applyNumberFormat="1" applyFont="1" applyFill="1" applyBorder="1" applyAlignment="1">
      <alignment horizontal="right" indent="1"/>
    </xf>
    <xf numFmtId="168" fontId="0" fillId="0" borderId="28" xfId="0" applyNumberFormat="1" applyFont="1" applyFill="1" applyBorder="1" applyAlignment="1">
      <alignment horizontal="right" indent="1"/>
    </xf>
    <xf numFmtId="3" fontId="0" fillId="0" borderId="28" xfId="0" applyNumberFormat="1" applyFont="1" applyFill="1" applyBorder="1" applyAlignment="1">
      <alignment horizontal="right" indent="1"/>
    </xf>
    <xf numFmtId="168" fontId="0" fillId="0" borderId="28" xfId="0" applyNumberFormat="1" applyFont="1" applyFill="1" applyBorder="1"/>
    <xf numFmtId="3" fontId="0" fillId="0" borderId="0" xfId="0" applyNumberFormat="1" applyFont="1" applyFill="1" applyBorder="1" applyAlignment="1">
      <alignment horizontal="right" indent="1"/>
    </xf>
    <xf numFmtId="3" fontId="0" fillId="3" borderId="35" xfId="0" applyNumberFormat="1" applyFont="1" applyFill="1" applyBorder="1" applyAlignment="1">
      <alignment horizontal="right" indent="1"/>
    </xf>
    <xf numFmtId="3" fontId="2" fillId="2" borderId="36" xfId="0" applyNumberFormat="1" applyFont="1" applyFill="1" applyBorder="1" applyAlignment="1">
      <alignment horizontal="right" indent="1"/>
    </xf>
    <xf numFmtId="10" fontId="0" fillId="0" borderId="29" xfId="3" applyNumberFormat="1" applyFont="1" applyFill="1" applyBorder="1" applyAlignment="1">
      <alignment horizontal="right" vertical="center"/>
    </xf>
    <xf numFmtId="3" fontId="0" fillId="0" borderId="31" xfId="3" applyNumberFormat="1" applyFont="1" applyFill="1" applyBorder="1" applyAlignment="1">
      <alignment horizontal="right" vertical="center"/>
    </xf>
    <xf numFmtId="3" fontId="2" fillId="2" borderId="34" xfId="0" applyNumberFormat="1" applyFont="1" applyFill="1" applyBorder="1" applyAlignment="1">
      <alignment horizontal="right"/>
    </xf>
    <xf numFmtId="0" fontId="7" fillId="0" borderId="28" xfId="3" applyFont="1" applyFill="1" applyBorder="1" applyAlignment="1">
      <alignment horizontal="left" vertical="center"/>
    </xf>
    <xf numFmtId="0" fontId="0" fillId="0" borderId="35" xfId="3" applyFont="1" applyFill="1" applyBorder="1" applyAlignment="1">
      <alignment horizontal="left" vertical="center"/>
    </xf>
    <xf numFmtId="0" fontId="2" fillId="2" borderId="36" xfId="0" applyFont="1" applyFill="1" applyBorder="1" applyAlignment="1">
      <alignment horizontal="center"/>
    </xf>
    <xf numFmtId="3" fontId="0" fillId="0" borderId="29" xfId="3" applyNumberFormat="1" applyFont="1" applyFill="1" applyBorder="1" applyAlignment="1">
      <alignment horizontal="right" vertical="center"/>
    </xf>
    <xf numFmtId="3" fontId="2" fillId="2" borderId="37" xfId="0" applyNumberFormat="1" applyFont="1" applyFill="1" applyBorder="1" applyAlignment="1">
      <alignment horizontal="right"/>
    </xf>
    <xf numFmtId="3" fontId="2" fillId="2" borderId="33" xfId="0" applyNumberFormat="1" applyFont="1" applyFill="1" applyBorder="1" applyAlignment="1">
      <alignment horizontal="right"/>
    </xf>
    <xf numFmtId="3" fontId="7" fillId="0" borderId="28" xfId="3" applyNumberFormat="1" applyFont="1" applyFill="1" applyBorder="1" applyAlignment="1">
      <alignment horizontal="right" vertical="center"/>
    </xf>
    <xf numFmtId="0" fontId="6" fillId="2" borderId="18" xfId="3" applyFont="1" applyFill="1" applyBorder="1" applyAlignment="1">
      <alignment horizontal="center" vertical="center" wrapText="1"/>
    </xf>
    <xf numFmtId="0" fontId="6" fillId="2" borderId="19" xfId="2" applyFont="1" applyFill="1" applyBorder="1" applyAlignment="1">
      <alignment horizontal="center" vertical="center" wrapText="1"/>
    </xf>
    <xf numFmtId="0" fontId="6" fillId="2" borderId="20" xfId="2" applyFont="1" applyFill="1" applyBorder="1" applyAlignment="1">
      <alignment horizontal="center" vertical="center" wrapText="1"/>
    </xf>
    <xf numFmtId="0" fontId="7" fillId="0" borderId="14" xfId="3" applyFont="1" applyFill="1" applyBorder="1" applyAlignment="1">
      <alignment horizontal="left" vertical="center" indent="1"/>
    </xf>
    <xf numFmtId="0" fontId="1" fillId="0" borderId="14" xfId="3" applyFont="1" applyFill="1" applyBorder="1" applyAlignment="1">
      <alignment horizontal="left" vertical="center" indent="1"/>
    </xf>
    <xf numFmtId="10" fontId="1" fillId="0" borderId="21" xfId="0" applyNumberFormat="1" applyFont="1" applyFill="1" applyBorder="1"/>
    <xf numFmtId="3" fontId="1" fillId="0" borderId="21" xfId="0" applyNumberFormat="1" applyFont="1" applyFill="1" applyBorder="1"/>
    <xf numFmtId="0" fontId="6" fillId="2" borderId="5" xfId="2" applyFont="1" applyFill="1" applyBorder="1" applyAlignment="1">
      <alignment horizontal="left" vertical="center" indent="1"/>
    </xf>
    <xf numFmtId="9" fontId="2" fillId="2" borderId="6" xfId="1" applyNumberFormat="1" applyFont="1" applyFill="1" applyBorder="1"/>
    <xf numFmtId="3" fontId="2" fillId="2" borderId="6" xfId="1" applyNumberFormat="1" applyFont="1" applyFill="1" applyBorder="1"/>
    <xf numFmtId="3" fontId="2" fillId="2" borderId="7" xfId="1" applyNumberFormat="1" applyFont="1" applyFill="1" applyBorder="1"/>
    <xf numFmtId="0" fontId="2" fillId="8" borderId="0" xfId="0" applyFont="1" applyFill="1"/>
    <xf numFmtId="0" fontId="0" fillId="0" borderId="28" xfId="0" applyFont="1" applyBorder="1"/>
    <xf numFmtId="3" fontId="7" fillId="0" borderId="28" xfId="2" applyNumberFormat="1" applyFont="1" applyBorder="1"/>
    <xf numFmtId="0" fontId="2" fillId="0" borderId="0" xfId="0" applyFont="1" applyFill="1" applyBorder="1"/>
    <xf numFmtId="0" fontId="2" fillId="8" borderId="39" xfId="0" applyFont="1" applyFill="1" applyBorder="1"/>
    <xf numFmtId="0" fontId="0" fillId="0" borderId="38" xfId="0" applyBorder="1"/>
    <xf numFmtId="0" fontId="0" fillId="0" borderId="39" xfId="0" applyBorder="1"/>
    <xf numFmtId="0" fontId="0" fillId="0" borderId="40" xfId="0" applyBorder="1"/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3" fontId="0" fillId="3" borderId="15" xfId="0" applyNumberFormat="1" applyFill="1" applyBorder="1"/>
    <xf numFmtId="0" fontId="6" fillId="2" borderId="16" xfId="2" applyFont="1" applyFill="1" applyBorder="1" applyAlignment="1">
      <alignment horizontal="left" vertical="center" indent="1"/>
    </xf>
    <xf numFmtId="3" fontId="6" fillId="2" borderId="21" xfId="2" applyNumberFormat="1" applyFont="1" applyFill="1" applyBorder="1" applyAlignment="1">
      <alignment vertical="center"/>
    </xf>
    <xf numFmtId="3" fontId="6" fillId="2" borderId="17" xfId="2" applyNumberFormat="1" applyFont="1" applyFill="1" applyBorder="1" applyAlignment="1">
      <alignment vertical="center"/>
    </xf>
    <xf numFmtId="3" fontId="2" fillId="2" borderId="21" xfId="0" applyNumberFormat="1" applyFont="1" applyFill="1" applyBorder="1"/>
    <xf numFmtId="3" fontId="0" fillId="0" borderId="0" xfId="0" applyNumberFormat="1" applyFont="1"/>
    <xf numFmtId="169" fontId="0" fillId="0" borderId="15" xfId="0" applyNumberFormat="1" applyBorder="1" applyAlignment="1">
      <alignment horizontal="center"/>
    </xf>
    <xf numFmtId="169" fontId="0" fillId="8" borderId="17" xfId="0" applyNumberFormat="1" applyFill="1" applyBorder="1" applyAlignment="1">
      <alignment horizontal="center"/>
    </xf>
    <xf numFmtId="0" fontId="7" fillId="0" borderId="46" xfId="3" applyFont="1" applyFill="1" applyBorder="1" applyAlignment="1">
      <alignment horizontal="left" vertical="center" indent="1"/>
    </xf>
    <xf numFmtId="0" fontId="0" fillId="0" borderId="46" xfId="3" applyFont="1" applyFill="1" applyBorder="1" applyAlignment="1">
      <alignment horizontal="left" vertical="center" indent="1"/>
    </xf>
    <xf numFmtId="0" fontId="6" fillId="2" borderId="47" xfId="2" applyFont="1" applyFill="1" applyBorder="1" applyAlignment="1">
      <alignment horizontal="left" vertical="center" indent="1"/>
    </xf>
    <xf numFmtId="3" fontId="0" fillId="0" borderId="14" xfId="0" applyNumberFormat="1" applyBorder="1"/>
    <xf numFmtId="3" fontId="6" fillId="2" borderId="16" xfId="2" applyNumberFormat="1" applyFont="1" applyFill="1" applyBorder="1" applyAlignment="1">
      <alignment vertical="center"/>
    </xf>
    <xf numFmtId="0" fontId="7" fillId="0" borderId="22" xfId="3" applyFont="1" applyFill="1" applyBorder="1" applyAlignment="1">
      <alignment horizontal="left" vertical="center" indent="1"/>
    </xf>
    <xf numFmtId="0" fontId="0" fillId="0" borderId="22" xfId="3" applyFont="1" applyFill="1" applyBorder="1" applyAlignment="1">
      <alignment horizontal="left" vertical="center" indent="1"/>
    </xf>
    <xf numFmtId="0" fontId="6" fillId="0" borderId="22" xfId="3" applyFont="1" applyFill="1" applyBorder="1" applyAlignment="1">
      <alignment horizontal="center" vertical="center" wrapText="1"/>
    </xf>
    <xf numFmtId="0" fontId="6" fillId="0" borderId="22" xfId="2" applyFont="1" applyFill="1" applyBorder="1" applyAlignment="1">
      <alignment horizontal="left" vertical="center" indent="1"/>
    </xf>
    <xf numFmtId="0" fontId="6" fillId="2" borderId="18" xfId="2" applyFont="1" applyFill="1" applyBorder="1" applyAlignment="1">
      <alignment horizontal="center" vertical="center" wrapText="1"/>
    </xf>
    <xf numFmtId="3" fontId="1" fillId="0" borderId="14" xfId="0" applyNumberFormat="1" applyFont="1" applyFill="1" applyBorder="1"/>
    <xf numFmtId="3" fontId="2" fillId="2" borderId="16" xfId="0" applyNumberFormat="1" applyFont="1" applyFill="1" applyBorder="1"/>
    <xf numFmtId="3" fontId="0" fillId="0" borderId="14" xfId="0" applyNumberFormat="1" applyBorder="1" applyAlignment="1">
      <alignment horizontal="center"/>
    </xf>
    <xf numFmtId="3" fontId="0" fillId="8" borderId="16" xfId="0" applyNumberFormat="1" applyFill="1" applyBorder="1" applyAlignment="1">
      <alignment horizontal="center"/>
    </xf>
    <xf numFmtId="0" fontId="6" fillId="2" borderId="26" xfId="3" applyFont="1" applyFill="1" applyBorder="1" applyAlignment="1">
      <alignment horizontal="center" vertical="center" wrapText="1"/>
    </xf>
    <xf numFmtId="0" fontId="6" fillId="8" borderId="0" xfId="0" applyFont="1" applyFill="1"/>
    <xf numFmtId="165" fontId="6" fillId="8" borderId="0" xfId="0" applyNumberFormat="1" applyFont="1" applyFill="1" applyAlignment="1">
      <alignment horizontal="center"/>
    </xf>
    <xf numFmtId="3" fontId="6" fillId="0" borderId="0" xfId="0" applyNumberFormat="1" applyFont="1" applyFill="1"/>
    <xf numFmtId="0" fontId="7" fillId="0" borderId="54" xfId="0" applyFont="1" applyBorder="1"/>
    <xf numFmtId="0" fontId="6" fillId="0" borderId="54" xfId="0" applyFont="1" applyBorder="1"/>
    <xf numFmtId="169" fontId="7" fillId="0" borderId="0" xfId="0" applyNumberFormat="1" applyFont="1" applyAlignment="1">
      <alignment horizontal="center"/>
    </xf>
    <xf numFmtId="10" fontId="0" fillId="0" borderId="2" xfId="0" applyNumberFormat="1" applyBorder="1" applyAlignment="1">
      <alignment horizontal="center"/>
    </xf>
    <xf numFmtId="10" fontId="0" fillId="0" borderId="2" xfId="0" applyNumberFormat="1" applyFill="1" applyBorder="1" applyAlignment="1">
      <alignment horizontal="center"/>
    </xf>
    <xf numFmtId="10" fontId="0" fillId="0" borderId="0" xfId="0" applyNumberFormat="1" applyFill="1" applyBorder="1" applyAlignment="1">
      <alignment horizontal="center"/>
    </xf>
    <xf numFmtId="0" fontId="0" fillId="0" borderId="1" xfId="0" applyFont="1" applyBorder="1"/>
    <xf numFmtId="0" fontId="2" fillId="2" borderId="4" xfId="0" applyFont="1" applyFill="1" applyBorder="1"/>
    <xf numFmtId="0" fontId="0" fillId="0" borderId="22" xfId="0" applyFont="1" applyBorder="1"/>
    <xf numFmtId="0" fontId="0" fillId="0" borderId="22" xfId="0" applyFont="1" applyFill="1" applyBorder="1"/>
    <xf numFmtId="0" fontId="2" fillId="0" borderId="22" xfId="0" applyFont="1" applyFill="1" applyBorder="1"/>
    <xf numFmtId="10" fontId="0" fillId="0" borderId="14" xfId="0" applyNumberFormat="1" applyBorder="1" applyAlignment="1">
      <alignment horizontal="center"/>
    </xf>
    <xf numFmtId="3" fontId="2" fillId="0" borderId="15" xfId="0" applyNumberFormat="1" applyFont="1" applyFill="1" applyBorder="1"/>
    <xf numFmtId="10" fontId="2" fillId="2" borderId="16" xfId="0" applyNumberFormat="1" applyFont="1" applyFill="1" applyBorder="1" applyAlignment="1">
      <alignment horizontal="center"/>
    </xf>
    <xf numFmtId="10" fontId="2" fillId="2" borderId="21" xfId="0" applyNumberFormat="1" applyFont="1" applyFill="1" applyBorder="1" applyAlignment="1">
      <alignment horizontal="center"/>
    </xf>
    <xf numFmtId="3" fontId="2" fillId="2" borderId="17" xfId="0" applyNumberFormat="1" applyFont="1" applyFill="1" applyBorder="1"/>
    <xf numFmtId="3" fontId="0" fillId="0" borderId="1" xfId="0" applyNumberFormat="1" applyFill="1" applyBorder="1"/>
    <xf numFmtId="3" fontId="2" fillId="2" borderId="4" xfId="0" applyNumberFormat="1" applyFont="1" applyFill="1" applyBorder="1"/>
    <xf numFmtId="0" fontId="0" fillId="0" borderId="0" xfId="0" applyBorder="1"/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0" fillId="0" borderId="18" xfId="0" applyBorder="1"/>
    <xf numFmtId="0" fontId="0" fillId="0" borderId="19" xfId="0" applyBorder="1" applyAlignment="1">
      <alignment horizontal="center"/>
    </xf>
    <xf numFmtId="0" fontId="0" fillId="0" borderId="14" xfId="0" applyBorder="1"/>
    <xf numFmtId="0" fontId="0" fillId="0" borderId="16" xfId="0" applyBorder="1"/>
    <xf numFmtId="0" fontId="0" fillId="0" borderId="21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9" xfId="0" applyFont="1" applyBorder="1"/>
    <xf numFmtId="3" fontId="0" fillId="3" borderId="3" xfId="0" applyNumberFormat="1" applyFill="1" applyBorder="1"/>
    <xf numFmtId="3" fontId="0" fillId="3" borderId="1" xfId="0" applyNumberFormat="1" applyFill="1" applyBorder="1"/>
    <xf numFmtId="3" fontId="0" fillId="3" borderId="4" xfId="0" applyNumberFormat="1" applyFill="1" applyBorder="1"/>
    <xf numFmtId="3" fontId="2" fillId="3" borderId="9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3" fontId="2" fillId="0" borderId="6" xfId="0" applyNumberFormat="1" applyFont="1" applyBorder="1" applyAlignment="1">
      <alignment horizontal="center"/>
    </xf>
    <xf numFmtId="3" fontId="2" fillId="0" borderId="7" xfId="0" applyNumberFormat="1" applyFont="1" applyBorder="1" applyAlignment="1">
      <alignment horizontal="center"/>
    </xf>
    <xf numFmtId="3" fontId="2" fillId="0" borderId="9" xfId="0" applyNumberFormat="1" applyFont="1" applyBorder="1" applyAlignment="1">
      <alignment horizontal="center"/>
    </xf>
    <xf numFmtId="3" fontId="0" fillId="0" borderId="0" xfId="0" applyNumberFormat="1" applyFill="1" applyBorder="1"/>
    <xf numFmtId="167" fontId="0" fillId="0" borderId="0" xfId="0" applyNumberFormat="1" applyBorder="1"/>
    <xf numFmtId="0" fontId="2" fillId="0" borderId="0" xfId="0" applyFont="1" applyBorder="1"/>
    <xf numFmtId="0" fontId="2" fillId="0" borderId="0" xfId="0" applyFont="1" applyBorder="1" applyAlignment="1">
      <alignment horizontal="center"/>
    </xf>
    <xf numFmtId="3" fontId="2" fillId="0" borderId="0" xfId="0" applyNumberFormat="1" applyFont="1" applyBorder="1" applyAlignment="1">
      <alignment horizontal="center"/>
    </xf>
    <xf numFmtId="0" fontId="7" fillId="0" borderId="22" xfId="0" applyFont="1" applyFill="1" applyBorder="1"/>
    <xf numFmtId="0" fontId="10" fillId="0" borderId="22" xfId="0" applyFont="1" applyFill="1" applyBorder="1"/>
    <xf numFmtId="0" fontId="12" fillId="0" borderId="22" xfId="0" applyFont="1" applyFill="1" applyBorder="1"/>
    <xf numFmtId="0" fontId="7" fillId="0" borderId="58" xfId="3" applyFont="1" applyFill="1" applyBorder="1" applyAlignment="1">
      <alignment horizontal="left" vertical="center" indent="1"/>
    </xf>
    <xf numFmtId="0" fontId="1" fillId="0" borderId="58" xfId="3" applyFont="1" applyFill="1" applyBorder="1" applyAlignment="1">
      <alignment horizontal="left" vertical="center" indent="1"/>
    </xf>
    <xf numFmtId="0" fontId="1" fillId="0" borderId="25" xfId="3" applyFont="1" applyFill="1" applyBorder="1" applyAlignment="1">
      <alignment horizontal="left" vertical="center" indent="1"/>
    </xf>
    <xf numFmtId="169" fontId="1" fillId="0" borderId="15" xfId="0" applyNumberFormat="1" applyFont="1" applyBorder="1" applyAlignment="1">
      <alignment horizontal="center"/>
    </xf>
    <xf numFmtId="169" fontId="1" fillId="0" borderId="17" xfId="0" applyNumberFormat="1" applyFont="1" applyBorder="1" applyAlignment="1">
      <alignment horizontal="center"/>
    </xf>
    <xf numFmtId="3" fontId="1" fillId="0" borderId="2" xfId="0" applyNumberFormat="1" applyFont="1" applyBorder="1" applyAlignment="1">
      <alignment horizontal="center"/>
    </xf>
    <xf numFmtId="3" fontId="1" fillId="0" borderId="21" xfId="0" applyNumberFormat="1" applyFon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3" fontId="2" fillId="2" borderId="16" xfId="0" applyNumberFormat="1" applyFont="1" applyFill="1" applyBorder="1" applyAlignment="1">
      <alignment horizontal="center"/>
    </xf>
    <xf numFmtId="10" fontId="2" fillId="2" borderId="17" xfId="0" applyNumberFormat="1" applyFont="1" applyFill="1" applyBorder="1" applyAlignment="1">
      <alignment horizontal="center"/>
    </xf>
    <xf numFmtId="3" fontId="2" fillId="3" borderId="1" xfId="0" applyNumberFormat="1" applyFont="1" applyFill="1" applyBorder="1"/>
    <xf numFmtId="0" fontId="6" fillId="0" borderId="16" xfId="2" applyFont="1" applyFill="1" applyBorder="1" applyAlignment="1">
      <alignment horizontal="left" vertical="center" indent="1"/>
    </xf>
    <xf numFmtId="3" fontId="6" fillId="0" borderId="21" xfId="2" applyNumberFormat="1" applyFont="1" applyFill="1" applyBorder="1" applyAlignment="1">
      <alignment vertical="center"/>
    </xf>
    <xf numFmtId="3" fontId="2" fillId="0" borderId="21" xfId="0" applyNumberFormat="1" applyFont="1" applyFill="1" applyBorder="1"/>
    <xf numFmtId="3" fontId="2" fillId="0" borderId="17" xfId="0" applyNumberFormat="1" applyFont="1" applyFill="1" applyBorder="1"/>
    <xf numFmtId="3" fontId="7" fillId="0" borderId="2" xfId="0" applyNumberFormat="1" applyFont="1" applyBorder="1" applyAlignment="1">
      <alignment horizontal="center"/>
    </xf>
    <xf numFmtId="10" fontId="1" fillId="0" borderId="15" xfId="0" applyNumberFormat="1" applyFont="1" applyBorder="1" applyAlignment="1">
      <alignment horizontal="center"/>
    </xf>
    <xf numFmtId="3" fontId="6" fillId="0" borderId="21" xfId="0" applyNumberFormat="1" applyFont="1" applyFill="1" applyBorder="1" applyAlignment="1">
      <alignment horizontal="center"/>
    </xf>
    <xf numFmtId="3" fontId="0" fillId="0" borderId="15" xfId="0" applyNumberFormat="1" applyFont="1" applyFill="1" applyBorder="1"/>
    <xf numFmtId="0" fontId="6" fillId="0" borderId="14" xfId="2" applyFont="1" applyFill="1" applyBorder="1" applyAlignment="1">
      <alignment horizontal="left" vertical="center" indent="1"/>
    </xf>
    <xf numFmtId="3" fontId="2" fillId="0" borderId="21" xfId="0" applyNumberFormat="1" applyFont="1" applyBorder="1"/>
    <xf numFmtId="3" fontId="2" fillId="0" borderId="17" xfId="0" applyNumberFormat="1" applyFont="1" applyBorder="1"/>
    <xf numFmtId="0" fontId="6" fillId="0" borderId="16" xfId="3" applyFont="1" applyFill="1" applyBorder="1" applyAlignment="1">
      <alignment horizontal="left" vertical="center" indent="1"/>
    </xf>
    <xf numFmtId="0" fontId="6" fillId="2" borderId="3" xfId="3" applyFont="1" applyFill="1" applyBorder="1" applyAlignment="1">
      <alignment horizontal="center" vertical="center" wrapText="1"/>
    </xf>
    <xf numFmtId="0" fontId="7" fillId="0" borderId="1" xfId="3" applyFont="1" applyFill="1" applyBorder="1" applyAlignment="1">
      <alignment horizontal="left" vertical="center" indent="1"/>
    </xf>
    <xf numFmtId="0" fontId="1" fillId="0" borderId="1" xfId="3" applyFont="1" applyFill="1" applyBorder="1" applyAlignment="1">
      <alignment horizontal="left" vertical="center" indent="1"/>
    </xf>
    <xf numFmtId="0" fontId="6" fillId="0" borderId="4" xfId="2" applyFont="1" applyFill="1" applyBorder="1" applyAlignment="1">
      <alignment horizontal="left" vertical="center" indent="1"/>
    </xf>
    <xf numFmtId="3" fontId="6" fillId="0" borderId="16" xfId="2" applyNumberFormat="1" applyFont="1" applyFill="1" applyBorder="1" applyAlignment="1">
      <alignment vertical="center"/>
    </xf>
    <xf numFmtId="0" fontId="1" fillId="0" borderId="22" xfId="3" applyFont="1" applyFill="1" applyBorder="1" applyAlignment="1">
      <alignment horizontal="left" vertical="center" indent="1"/>
    </xf>
    <xf numFmtId="0" fontId="0" fillId="0" borderId="58" xfId="0" applyFont="1" applyBorder="1"/>
    <xf numFmtId="0" fontId="2" fillId="0" borderId="25" xfId="0" applyFont="1" applyBorder="1"/>
    <xf numFmtId="3" fontId="0" fillId="0" borderId="44" xfId="0" applyNumberFormat="1" applyFont="1" applyFill="1" applyBorder="1"/>
    <xf numFmtId="3" fontId="2" fillId="0" borderId="45" xfId="0" applyNumberFormat="1" applyFont="1" applyBorder="1"/>
    <xf numFmtId="0" fontId="2" fillId="0" borderId="22" xfId="0" applyFont="1" applyBorder="1"/>
    <xf numFmtId="0" fontId="7" fillId="0" borderId="0" xfId="3" applyFont="1" applyFill="1" applyBorder="1" applyAlignment="1">
      <alignment horizontal="left" vertical="center" indent="1"/>
    </xf>
    <xf numFmtId="3" fontId="7" fillId="0" borderId="59" xfId="3" applyNumberFormat="1" applyFont="1" applyFill="1" applyBorder="1" applyAlignment="1">
      <alignment horizontal="right" vertical="center" indent="1"/>
    </xf>
    <xf numFmtId="3" fontId="6" fillId="2" borderId="61" xfId="2" applyNumberFormat="1" applyFont="1" applyFill="1" applyBorder="1" applyAlignment="1">
      <alignment horizontal="right" vertical="center" indent="1"/>
    </xf>
    <xf numFmtId="10" fontId="1" fillId="0" borderId="14" xfId="0" applyNumberFormat="1" applyFont="1" applyFill="1" applyBorder="1"/>
    <xf numFmtId="3" fontId="2" fillId="3" borderId="15" xfId="0" applyNumberFormat="1" applyFont="1" applyFill="1" applyBorder="1"/>
    <xf numFmtId="10" fontId="1" fillId="0" borderId="16" xfId="0" applyNumberFormat="1" applyFont="1" applyFill="1" applyBorder="1"/>
    <xf numFmtId="3" fontId="2" fillId="3" borderId="17" xfId="0" applyNumberFormat="1" applyFont="1" applyFill="1" applyBorder="1"/>
    <xf numFmtId="9" fontId="2" fillId="2" borderId="5" xfId="1" applyNumberFormat="1" applyFont="1" applyFill="1" applyBorder="1"/>
    <xf numFmtId="0" fontId="7" fillId="2" borderId="26" xfId="3" applyFont="1" applyFill="1" applyBorder="1" applyAlignment="1">
      <alignment horizontal="center" vertical="center" wrapText="1"/>
    </xf>
    <xf numFmtId="0" fontId="7" fillId="2" borderId="62" xfId="2" applyFont="1" applyFill="1" applyBorder="1" applyAlignment="1">
      <alignment horizontal="left" vertical="center" indent="1"/>
    </xf>
    <xf numFmtId="0" fontId="7" fillId="0" borderId="28" xfId="3" applyFont="1" applyFill="1" applyBorder="1" applyAlignment="1">
      <alignment horizontal="left" vertical="center" indent="1"/>
    </xf>
    <xf numFmtId="164" fontId="1" fillId="0" borderId="28" xfId="0" applyNumberFormat="1" applyFont="1" applyFill="1" applyBorder="1"/>
    <xf numFmtId="3" fontId="1" fillId="0" borderId="28" xfId="0" applyNumberFormat="1" applyFont="1" applyFill="1" applyBorder="1"/>
    <xf numFmtId="3" fontId="1" fillId="0" borderId="16" xfId="0" applyNumberFormat="1" applyFont="1" applyFill="1" applyBorder="1"/>
    <xf numFmtId="3" fontId="7" fillId="0" borderId="60" xfId="3" applyNumberFormat="1" applyFont="1" applyFill="1" applyBorder="1" applyAlignment="1">
      <alignment horizontal="right" vertical="center" indent="1"/>
    </xf>
    <xf numFmtId="0" fontId="7" fillId="0" borderId="28" xfId="3" applyFont="1" applyFill="1" applyBorder="1" applyAlignment="1">
      <alignment horizontal="right" vertical="center" indent="1"/>
    </xf>
    <xf numFmtId="3" fontId="1" fillId="0" borderId="28" xfId="0" applyNumberFormat="1" applyFont="1" applyBorder="1" applyAlignment="1">
      <alignment horizontal="center"/>
    </xf>
    <xf numFmtId="169" fontId="1" fillId="0" borderId="28" xfId="0" applyNumberFormat="1" applyFont="1" applyBorder="1" applyAlignment="1">
      <alignment horizontal="center"/>
    </xf>
    <xf numFmtId="0" fontId="6" fillId="2" borderId="63" xfId="2" applyFont="1" applyFill="1" applyBorder="1" applyAlignment="1">
      <alignment horizontal="center" vertical="center" wrapText="1"/>
    </xf>
    <xf numFmtId="0" fontId="0" fillId="0" borderId="64" xfId="0" applyFont="1" applyBorder="1"/>
    <xf numFmtId="0" fontId="0" fillId="0" borderId="65" xfId="0" applyFont="1" applyBorder="1"/>
    <xf numFmtId="0" fontId="6" fillId="8" borderId="66" xfId="2" applyFont="1" applyFill="1" applyBorder="1"/>
    <xf numFmtId="0" fontId="7" fillId="0" borderId="66" xfId="2" applyFont="1" applyFill="1" applyBorder="1"/>
    <xf numFmtId="0" fontId="7" fillId="0" borderId="65" xfId="2" applyFont="1" applyFill="1" applyBorder="1"/>
    <xf numFmtId="3" fontId="7" fillId="0" borderId="64" xfId="2" applyNumberFormat="1" applyFont="1" applyBorder="1"/>
    <xf numFmtId="3" fontId="7" fillId="0" borderId="65" xfId="2" applyNumberFormat="1" applyFont="1" applyBorder="1"/>
    <xf numFmtId="3" fontId="7" fillId="0" borderId="64" xfId="2" applyNumberFormat="1" applyFont="1" applyFill="1" applyBorder="1"/>
    <xf numFmtId="3" fontId="6" fillId="8" borderId="66" xfId="2" applyNumberFormat="1" applyFont="1" applyFill="1" applyBorder="1"/>
    <xf numFmtId="3" fontId="7" fillId="0" borderId="66" xfId="2" applyNumberFormat="1" applyFont="1" applyFill="1" applyBorder="1"/>
    <xf numFmtId="3" fontId="7" fillId="0" borderId="65" xfId="2" applyNumberFormat="1" applyFont="1" applyFill="1" applyBorder="1"/>
    <xf numFmtId="0" fontId="0" fillId="0" borderId="0" xfId="0" applyFont="1" applyBorder="1"/>
    <xf numFmtId="0" fontId="7" fillId="0" borderId="22" xfId="2" applyFont="1" applyFill="1" applyBorder="1"/>
    <xf numFmtId="0" fontId="6" fillId="0" borderId="22" xfId="2" applyFont="1" applyFill="1" applyBorder="1"/>
    <xf numFmtId="0" fontId="0" fillId="0" borderId="64" xfId="0" applyFont="1" applyFill="1" applyBorder="1"/>
    <xf numFmtId="0" fontId="0" fillId="0" borderId="65" xfId="0" applyFont="1" applyFill="1" applyBorder="1"/>
    <xf numFmtId="0" fontId="2" fillId="8" borderId="66" xfId="0" applyFont="1" applyFill="1" applyBorder="1"/>
    <xf numFmtId="0" fontId="0" fillId="0" borderId="66" xfId="0" applyFont="1" applyFill="1" applyBorder="1"/>
    <xf numFmtId="3" fontId="0" fillId="0" borderId="64" xfId="0" applyNumberFormat="1" applyFont="1" applyFill="1" applyBorder="1"/>
    <xf numFmtId="3" fontId="0" fillId="0" borderId="65" xfId="0" applyNumberFormat="1" applyFont="1" applyFill="1" applyBorder="1"/>
    <xf numFmtId="3" fontId="0" fillId="0" borderId="64" xfId="0" applyNumberFormat="1" applyFont="1" applyFill="1" applyBorder="1" applyAlignment="1"/>
    <xf numFmtId="3" fontId="2" fillId="8" borderId="66" xfId="0" applyNumberFormat="1" applyFont="1" applyFill="1" applyBorder="1" applyAlignment="1"/>
    <xf numFmtId="3" fontId="0" fillId="0" borderId="66" xfId="0" applyNumberFormat="1" applyFont="1" applyFill="1" applyBorder="1" applyAlignment="1"/>
    <xf numFmtId="3" fontId="0" fillId="0" borderId="65" xfId="0" applyNumberFormat="1" applyFont="1" applyFill="1" applyBorder="1" applyAlignment="1"/>
    <xf numFmtId="3" fontId="1" fillId="8" borderId="6" xfId="0" applyNumberFormat="1" applyFont="1" applyFill="1" applyBorder="1" applyAlignment="1">
      <alignment horizontal="center"/>
    </xf>
    <xf numFmtId="169" fontId="1" fillId="8" borderId="7" xfId="0" applyNumberFormat="1" applyFont="1" applyFill="1" applyBorder="1" applyAlignment="1">
      <alignment horizontal="center"/>
    </xf>
    <xf numFmtId="3" fontId="2" fillId="0" borderId="16" xfId="0" applyNumberFormat="1" applyFont="1" applyBorder="1"/>
    <xf numFmtId="10" fontId="2" fillId="0" borderId="17" xfId="0" applyNumberFormat="1" applyFont="1" applyBorder="1" applyAlignment="1">
      <alignment horizontal="center"/>
    </xf>
    <xf numFmtId="3" fontId="2" fillId="11" borderId="15" xfId="0" applyNumberFormat="1" applyFont="1" applyFill="1" applyBorder="1"/>
    <xf numFmtId="3" fontId="2" fillId="11" borderId="17" xfId="0" applyNumberFormat="1" applyFont="1" applyFill="1" applyBorder="1"/>
    <xf numFmtId="0" fontId="1" fillId="0" borderId="54" xfId="0" applyFont="1" applyFill="1" applyBorder="1"/>
    <xf numFmtId="0" fontId="1" fillId="0" borderId="54" xfId="0" applyFont="1" applyBorder="1"/>
    <xf numFmtId="0" fontId="0" fillId="0" borderId="54" xfId="0" applyBorder="1"/>
    <xf numFmtId="0" fontId="13" fillId="0" borderId="0" xfId="7" applyFont="1" applyFill="1" applyBorder="1" applyAlignment="1"/>
    <xf numFmtId="0" fontId="14" fillId="0" borderId="0" xfId="7" applyFont="1" applyFill="1" applyBorder="1" applyAlignment="1">
      <alignment horizontal="left" wrapText="1"/>
    </xf>
    <xf numFmtId="49" fontId="14" fillId="0" borderId="0" xfId="7" applyNumberFormat="1" applyFont="1" applyFill="1" applyBorder="1" applyAlignment="1">
      <alignment horizontal="center" wrapText="1"/>
    </xf>
    <xf numFmtId="4" fontId="14" fillId="0" borderId="0" xfId="7" applyNumberFormat="1" applyFont="1" applyFill="1" applyBorder="1" applyAlignment="1">
      <alignment horizontal="center" wrapText="1"/>
    </xf>
    <xf numFmtId="0" fontId="14" fillId="0" borderId="0" xfId="7" applyFont="1" applyFill="1" applyBorder="1" applyAlignment="1">
      <alignment horizontal="center" wrapText="1"/>
    </xf>
    <xf numFmtId="4" fontId="14" fillId="0" borderId="0" xfId="7" applyNumberFormat="1" applyFont="1" applyFill="1" applyBorder="1" applyAlignment="1">
      <alignment horizontal="left" wrapText="1"/>
    </xf>
    <xf numFmtId="0" fontId="14" fillId="0" borderId="0" xfId="7" applyFont="1" applyFill="1" applyBorder="1" applyAlignment="1">
      <alignment horizontal="right" wrapText="1"/>
    </xf>
    <xf numFmtId="0" fontId="15" fillId="12" borderId="67" xfId="7" applyFont="1" applyFill="1" applyBorder="1" applyAlignment="1">
      <alignment horizontal="center" vertical="center" wrapText="1"/>
    </xf>
    <xf numFmtId="0" fontId="16" fillId="13" borderId="68" xfId="7" applyFont="1" applyFill="1" applyBorder="1" applyAlignment="1">
      <alignment horizontal="center" vertical="center" wrapText="1"/>
    </xf>
    <xf numFmtId="0" fontId="16" fillId="13" borderId="68" xfId="7" applyFont="1" applyFill="1" applyBorder="1" applyAlignment="1">
      <alignment horizontal="left" vertical="center" wrapText="1"/>
    </xf>
    <xf numFmtId="49" fontId="16" fillId="13" borderId="68" xfId="7" applyNumberFormat="1" applyFont="1" applyFill="1" applyBorder="1" applyAlignment="1">
      <alignment horizontal="center" vertical="center" wrapText="1"/>
    </xf>
    <xf numFmtId="4" fontId="16" fillId="13" borderId="68" xfId="7" applyNumberFormat="1" applyFont="1" applyFill="1" applyBorder="1" applyAlignment="1">
      <alignment horizontal="center" vertical="center" wrapText="1"/>
    </xf>
    <xf numFmtId="4" fontId="19" fillId="13" borderId="68" xfId="7" applyNumberFormat="1" applyFont="1" applyFill="1" applyBorder="1" applyAlignment="1">
      <alignment horizontal="center" vertical="center" wrapText="1"/>
    </xf>
    <xf numFmtId="170" fontId="16" fillId="13" borderId="68" xfId="7" applyNumberFormat="1" applyFont="1" applyFill="1" applyBorder="1" applyAlignment="1">
      <alignment horizontal="center" vertical="center" wrapText="1"/>
    </xf>
    <xf numFmtId="170" fontId="16" fillId="13" borderId="69" xfId="7" applyNumberFormat="1" applyFont="1" applyFill="1" applyBorder="1" applyAlignment="1">
      <alignment horizontal="center" vertical="center" wrapText="1"/>
    </xf>
    <xf numFmtId="4" fontId="16" fillId="13" borderId="69" xfId="7" applyNumberFormat="1" applyFont="1" applyFill="1" applyBorder="1" applyAlignment="1">
      <alignment horizontal="center" vertical="center" wrapText="1"/>
    </xf>
    <xf numFmtId="0" fontId="16" fillId="14" borderId="70" xfId="7" applyFont="1" applyFill="1" applyBorder="1" applyAlignment="1">
      <alignment horizontal="center" vertical="center" wrapText="1"/>
    </xf>
    <xf numFmtId="0" fontId="16" fillId="14" borderId="71" xfId="7" applyFont="1" applyFill="1" applyBorder="1" applyAlignment="1">
      <alignment horizontal="center" vertical="center" wrapText="1"/>
    </xf>
    <xf numFmtId="0" fontId="20" fillId="15" borderId="70" xfId="7" applyFont="1" applyFill="1" applyBorder="1" applyAlignment="1">
      <alignment horizontal="center" vertical="center" wrapText="1"/>
    </xf>
    <xf numFmtId="0" fontId="20" fillId="5" borderId="72" xfId="7" applyFont="1" applyFill="1" applyBorder="1" applyAlignment="1">
      <alignment horizontal="center" vertical="center" wrapText="1"/>
    </xf>
    <xf numFmtId="0" fontId="20" fillId="16" borderId="72" xfId="7" applyFont="1" applyFill="1" applyBorder="1" applyAlignment="1">
      <alignment horizontal="center" vertical="center" wrapText="1"/>
    </xf>
    <xf numFmtId="0" fontId="20" fillId="16" borderId="73" xfId="7" applyFont="1" applyFill="1" applyBorder="1" applyAlignment="1">
      <alignment horizontal="center" vertical="center" wrapText="1"/>
    </xf>
    <xf numFmtId="0" fontId="20" fillId="17" borderId="72" xfId="7" applyFont="1" applyFill="1" applyBorder="1" applyAlignment="1">
      <alignment horizontal="center" vertical="center" wrapText="1"/>
    </xf>
    <xf numFmtId="0" fontId="20" fillId="18" borderId="72" xfId="7" applyFont="1" applyFill="1" applyBorder="1" applyAlignment="1">
      <alignment horizontal="center" vertical="center" wrapText="1"/>
    </xf>
    <xf numFmtId="0" fontId="20" fillId="18" borderId="74" xfId="7" applyFont="1" applyFill="1" applyBorder="1" applyAlignment="1">
      <alignment horizontal="center" vertical="center" wrapText="1"/>
    </xf>
    <xf numFmtId="0" fontId="20" fillId="19" borderId="72" xfId="7" applyFont="1" applyFill="1" applyBorder="1" applyAlignment="1">
      <alignment horizontal="center" vertical="center" wrapText="1"/>
    </xf>
    <xf numFmtId="0" fontId="20" fillId="19" borderId="74" xfId="7" applyFont="1" applyFill="1" applyBorder="1" applyAlignment="1">
      <alignment horizontal="center" vertical="center" wrapText="1"/>
    </xf>
    <xf numFmtId="0" fontId="20" fillId="20" borderId="72" xfId="7" applyFont="1" applyFill="1" applyBorder="1" applyAlignment="1">
      <alignment horizontal="center" vertical="center" wrapText="1"/>
    </xf>
    <xf numFmtId="0" fontId="20" fillId="20" borderId="74" xfId="7" applyFont="1" applyFill="1" applyBorder="1" applyAlignment="1">
      <alignment horizontal="center" vertical="center" wrapText="1"/>
    </xf>
    <xf numFmtId="0" fontId="20" fillId="15" borderId="2" xfId="7" applyFont="1" applyFill="1" applyBorder="1" applyAlignment="1">
      <alignment horizontal="center" vertical="center" wrapText="1"/>
    </xf>
    <xf numFmtId="0" fontId="11" fillId="0" borderId="0" xfId="7" applyFont="1" applyBorder="1" applyAlignment="1">
      <alignment horizontal="left" wrapText="1"/>
    </xf>
    <xf numFmtId="0" fontId="11" fillId="0" borderId="0" xfId="7" applyFont="1" applyAlignment="1">
      <alignment horizontal="left" wrapText="1"/>
    </xf>
    <xf numFmtId="0" fontId="22" fillId="0" borderId="2" xfId="7" applyFont="1" applyFill="1" applyBorder="1" applyAlignment="1">
      <alignment horizontal="left" wrapText="1"/>
    </xf>
    <xf numFmtId="0" fontId="22" fillId="8" borderId="2" xfId="7" applyFont="1" applyFill="1" applyBorder="1" applyAlignment="1">
      <alignment horizontal="left" wrapText="1"/>
    </xf>
    <xf numFmtId="49" fontId="22" fillId="8" borderId="2" xfId="7" applyNumberFormat="1" applyFont="1" applyFill="1" applyBorder="1" applyAlignment="1">
      <alignment horizontal="center" wrapText="1"/>
    </xf>
    <xf numFmtId="4" fontId="22" fillId="8" borderId="2" xfId="7" applyNumberFormat="1" applyFont="1" applyFill="1" applyBorder="1" applyAlignment="1">
      <alignment horizontal="center" wrapText="1"/>
    </xf>
    <xf numFmtId="0" fontId="22" fillId="8" borderId="2" xfId="7" applyFont="1" applyFill="1" applyBorder="1" applyAlignment="1">
      <alignment horizontal="center" wrapText="1"/>
    </xf>
    <xf numFmtId="4" fontId="22" fillId="8" borderId="2" xfId="7" applyNumberFormat="1" applyFont="1" applyFill="1" applyBorder="1" applyAlignment="1">
      <alignment horizontal="right" wrapText="1"/>
    </xf>
    <xf numFmtId="0" fontId="22" fillId="15" borderId="2" xfId="7" applyFont="1" applyFill="1" applyBorder="1" applyAlignment="1">
      <alignment horizontal="left" wrapText="1"/>
    </xf>
    <xf numFmtId="0" fontId="22" fillId="21" borderId="2" xfId="7" applyFont="1" applyFill="1" applyBorder="1" applyAlignment="1">
      <alignment horizontal="left" wrapText="1"/>
    </xf>
    <xf numFmtId="49" fontId="22" fillId="21" borderId="2" xfId="7" applyNumberFormat="1" applyFont="1" applyFill="1" applyBorder="1" applyAlignment="1">
      <alignment horizontal="center" wrapText="1"/>
    </xf>
    <xf numFmtId="4" fontId="22" fillId="11" borderId="2" xfId="7" applyNumberFormat="1" applyFont="1" applyFill="1" applyBorder="1" applyAlignment="1">
      <alignment horizontal="center" wrapText="1"/>
    </xf>
    <xf numFmtId="0" fontId="22" fillId="0" borderId="2" xfId="7" applyFont="1" applyFill="1" applyBorder="1" applyAlignment="1">
      <alignment horizontal="center" wrapText="1"/>
    </xf>
    <xf numFmtId="4" fontId="22" fillId="0" borderId="2" xfId="7" applyNumberFormat="1" applyFont="1" applyFill="1" applyBorder="1" applyAlignment="1">
      <alignment horizontal="center" wrapText="1"/>
    </xf>
    <xf numFmtId="0" fontId="22" fillId="15" borderId="2" xfId="7" applyFont="1" applyFill="1" applyBorder="1" applyAlignment="1">
      <alignment horizontal="center" wrapText="1"/>
    </xf>
    <xf numFmtId="4" fontId="22" fillId="15" borderId="2" xfId="7" applyNumberFormat="1" applyFont="1" applyFill="1" applyBorder="1" applyAlignment="1">
      <alignment horizontal="center" wrapText="1"/>
    </xf>
    <xf numFmtId="4" fontId="22" fillId="21" borderId="2" xfId="7" applyNumberFormat="1" applyFont="1" applyFill="1" applyBorder="1" applyAlignment="1">
      <alignment horizontal="right" wrapText="1"/>
    </xf>
    <xf numFmtId="4" fontId="22" fillId="15" borderId="2" xfId="7" applyNumberFormat="1" applyFont="1" applyFill="1" applyBorder="1" applyAlignment="1">
      <alignment horizontal="right" wrapText="1"/>
    </xf>
    <xf numFmtId="4" fontId="22" fillId="0" borderId="2" xfId="7" applyNumberFormat="1" applyFont="1" applyFill="1" applyBorder="1" applyAlignment="1">
      <alignment horizontal="right" wrapText="1"/>
    </xf>
    <xf numFmtId="4" fontId="22" fillId="5" borderId="2" xfId="7" applyNumberFormat="1" applyFont="1" applyFill="1" applyBorder="1" applyAlignment="1">
      <alignment horizontal="right" wrapText="1"/>
    </xf>
    <xf numFmtId="4" fontId="22" fillId="21" borderId="2" xfId="7" applyNumberFormat="1" applyFont="1" applyFill="1" applyBorder="1" applyAlignment="1">
      <alignment horizontal="center" wrapText="1"/>
    </xf>
    <xf numFmtId="0" fontId="22" fillId="21" borderId="2" xfId="7" applyFont="1" applyFill="1" applyBorder="1" applyAlignment="1">
      <alignment horizontal="center" wrapText="1"/>
    </xf>
    <xf numFmtId="49" fontId="22" fillId="15" borderId="2" xfId="7" applyNumberFormat="1" applyFont="1" applyFill="1" applyBorder="1" applyAlignment="1">
      <alignment horizontal="center" wrapText="1"/>
    </xf>
    <xf numFmtId="4" fontId="22" fillId="16" borderId="2" xfId="7" applyNumberFormat="1" applyFont="1" applyFill="1" applyBorder="1" applyAlignment="1">
      <alignment horizontal="right" wrapText="1"/>
    </xf>
    <xf numFmtId="4" fontId="22" fillId="17" borderId="2" xfId="7" applyNumberFormat="1" applyFont="1" applyFill="1" applyBorder="1" applyAlignment="1">
      <alignment horizontal="right" wrapText="1"/>
    </xf>
    <xf numFmtId="4" fontId="22" fillId="18" borderId="2" xfId="7" applyNumberFormat="1" applyFont="1" applyFill="1" applyBorder="1" applyAlignment="1">
      <alignment horizontal="right" wrapText="1"/>
    </xf>
    <xf numFmtId="4" fontId="22" fillId="20" borderId="2" xfId="7" applyNumberFormat="1" applyFont="1" applyFill="1" applyBorder="1" applyAlignment="1">
      <alignment horizontal="right" wrapText="1"/>
    </xf>
    <xf numFmtId="4" fontId="22" fillId="19" borderId="2" xfId="7" applyNumberFormat="1" applyFont="1" applyFill="1" applyBorder="1" applyAlignment="1">
      <alignment horizontal="right" wrapText="1"/>
    </xf>
    <xf numFmtId="4" fontId="23" fillId="0" borderId="2" xfId="7" applyNumberFormat="1" applyFont="1" applyFill="1" applyBorder="1" applyAlignment="1">
      <alignment horizontal="center" wrapText="1"/>
    </xf>
    <xf numFmtId="3" fontId="22" fillId="0" borderId="2" xfId="7" applyNumberFormat="1" applyFont="1" applyFill="1" applyBorder="1" applyAlignment="1">
      <alignment horizontal="center" wrapText="1"/>
    </xf>
    <xf numFmtId="0" fontId="11" fillId="0" borderId="0" xfId="7" applyFont="1" applyFill="1" applyAlignment="1">
      <alignment horizontal="center" wrapText="1"/>
    </xf>
    <xf numFmtId="3" fontId="22" fillId="15" borderId="2" xfId="7" applyNumberFormat="1" applyFont="1" applyFill="1" applyBorder="1" applyAlignment="1">
      <alignment horizontal="center" wrapText="1"/>
    </xf>
    <xf numFmtId="49" fontId="22" fillId="0" borderId="2" xfId="7" applyNumberFormat="1" applyFont="1" applyFill="1" applyBorder="1" applyAlignment="1">
      <alignment horizontal="center" wrapText="1"/>
    </xf>
    <xf numFmtId="4" fontId="22" fillId="22" borderId="2" xfId="7" applyNumberFormat="1" applyFont="1" applyFill="1" applyBorder="1" applyAlignment="1">
      <alignment horizontal="right" wrapText="1"/>
    </xf>
    <xf numFmtId="4" fontId="22" fillId="22" borderId="2" xfId="7" applyNumberFormat="1" applyFont="1" applyFill="1" applyBorder="1" applyAlignment="1">
      <alignment horizontal="left" wrapText="1"/>
    </xf>
    <xf numFmtId="0" fontId="11" fillId="0" borderId="0" xfId="7" applyFont="1" applyFill="1" applyBorder="1" applyAlignment="1">
      <alignment horizontal="left" wrapText="1"/>
    </xf>
    <xf numFmtId="49" fontId="11" fillId="0" borderId="0" xfId="7" applyNumberFormat="1" applyFont="1" applyFill="1" applyBorder="1" applyAlignment="1">
      <alignment horizontal="center" wrapText="1"/>
    </xf>
    <xf numFmtId="4" fontId="11" fillId="0" borderId="0" xfId="7" applyNumberFormat="1" applyFont="1" applyFill="1" applyBorder="1" applyAlignment="1">
      <alignment horizontal="center" wrapText="1"/>
    </xf>
    <xf numFmtId="0" fontId="11" fillId="0" borderId="0" xfId="7" applyFont="1" applyFill="1" applyBorder="1" applyAlignment="1">
      <alignment horizontal="center" wrapText="1"/>
    </xf>
    <xf numFmtId="4" fontId="11" fillId="0" borderId="0" xfId="7" applyNumberFormat="1" applyFont="1" applyFill="1" applyBorder="1" applyAlignment="1">
      <alignment horizontal="left" wrapText="1"/>
    </xf>
    <xf numFmtId="4" fontId="11" fillId="0" borderId="0" xfId="7" applyNumberFormat="1" applyFont="1" applyFill="1" applyBorder="1" applyAlignment="1">
      <alignment horizontal="right" wrapText="1"/>
    </xf>
    <xf numFmtId="0" fontId="11" fillId="0" borderId="0" xfId="7" applyFont="1" applyFill="1" applyBorder="1" applyAlignment="1">
      <alignment horizontal="right" wrapText="1"/>
    </xf>
    <xf numFmtId="3" fontId="11" fillId="0" borderId="0" xfId="7" applyNumberFormat="1" applyFont="1" applyFill="1" applyBorder="1" applyAlignment="1">
      <alignment horizontal="left" wrapText="1"/>
    </xf>
    <xf numFmtId="4" fontId="24" fillId="0" borderId="0" xfId="7" applyNumberFormat="1" applyFont="1" applyFill="1" applyBorder="1" applyAlignment="1">
      <alignment horizontal="left" wrapText="1"/>
    </xf>
    <xf numFmtId="4" fontId="25" fillId="0" borderId="0" xfId="0" applyNumberFormat="1" applyFont="1"/>
    <xf numFmtId="4" fontId="11" fillId="0" borderId="0" xfId="7" applyNumberFormat="1" applyFont="1" applyFill="1" applyBorder="1" applyAlignment="1">
      <alignment wrapText="1"/>
    </xf>
    <xf numFmtId="0" fontId="28" fillId="0" borderId="0" xfId="0" applyFont="1"/>
    <xf numFmtId="0" fontId="29" fillId="0" borderId="0" xfId="0" applyFont="1"/>
    <xf numFmtId="0" fontId="30" fillId="0" borderId="5" xfId="8" applyFont="1" applyFill="1" applyBorder="1" applyAlignment="1">
      <alignment horizontal="center" vertical="center" wrapText="1"/>
    </xf>
    <xf numFmtId="0" fontId="30" fillId="0" borderId="6" xfId="8" applyFont="1" applyFill="1" applyBorder="1" applyAlignment="1">
      <alignment horizontal="center" vertical="center" wrapText="1"/>
    </xf>
    <xf numFmtId="0" fontId="29" fillId="0" borderId="6" xfId="8" applyFont="1" applyFill="1" applyBorder="1" applyAlignment="1">
      <alignment horizontal="center" vertical="center" wrapText="1"/>
    </xf>
    <xf numFmtId="0" fontId="29" fillId="16" borderId="6" xfId="8" applyFont="1" applyFill="1" applyBorder="1" applyAlignment="1">
      <alignment horizontal="center" vertical="center" wrapText="1"/>
    </xf>
    <xf numFmtId="0" fontId="30" fillId="0" borderId="7" xfId="8" applyFont="1" applyFill="1" applyBorder="1" applyAlignment="1">
      <alignment horizontal="center" vertical="center" wrapText="1"/>
    </xf>
    <xf numFmtId="49" fontId="31" fillId="0" borderId="8" xfId="8" applyNumberFormat="1" applyFont="1" applyFill="1" applyBorder="1" applyAlignment="1">
      <alignment horizontal="center"/>
    </xf>
    <xf numFmtId="0" fontId="31" fillId="0" borderId="8" xfId="8" applyFont="1" applyFill="1" applyBorder="1"/>
    <xf numFmtId="4" fontId="29" fillId="0" borderId="8" xfId="8" applyNumberFormat="1" applyFont="1" applyFill="1" applyBorder="1"/>
    <xf numFmtId="4" fontId="30" fillId="0" borderId="8" xfId="8" applyNumberFormat="1" applyFont="1" applyFill="1" applyBorder="1"/>
    <xf numFmtId="4" fontId="30" fillId="0" borderId="79" xfId="8" applyNumberFormat="1" applyFont="1" applyFill="1" applyBorder="1"/>
    <xf numFmtId="4" fontId="28" fillId="0" borderId="8" xfId="8" applyNumberFormat="1" applyFont="1" applyFill="1" applyBorder="1"/>
    <xf numFmtId="4" fontId="31" fillId="0" borderId="8" xfId="8" applyNumberFormat="1" applyFont="1" applyFill="1" applyBorder="1"/>
    <xf numFmtId="4" fontId="31" fillId="0" borderId="79" xfId="8" applyNumberFormat="1" applyFont="1" applyFill="1" applyBorder="1"/>
    <xf numFmtId="49" fontId="31" fillId="23" borderId="2" xfId="8" applyNumberFormat="1" applyFont="1" applyFill="1" applyBorder="1" applyAlignment="1">
      <alignment horizontal="center"/>
    </xf>
    <xf numFmtId="0" fontId="31" fillId="23" borderId="2" xfId="8" applyFont="1" applyFill="1" applyBorder="1"/>
    <xf numFmtId="4" fontId="30" fillId="23" borderId="2" xfId="8" applyNumberFormat="1" applyFont="1" applyFill="1" applyBorder="1"/>
    <xf numFmtId="4" fontId="29" fillId="23" borderId="2" xfId="8" applyNumberFormat="1" applyFont="1" applyFill="1" applyBorder="1"/>
    <xf numFmtId="4" fontId="30" fillId="23" borderId="80" xfId="8" applyNumberFormat="1" applyFont="1" applyFill="1" applyBorder="1"/>
    <xf numFmtId="4" fontId="31" fillId="23" borderId="2" xfId="8" applyNumberFormat="1" applyFont="1" applyFill="1" applyBorder="1"/>
    <xf numFmtId="4" fontId="28" fillId="23" borderId="2" xfId="8" applyNumberFormat="1" applyFont="1" applyFill="1" applyBorder="1"/>
    <xf numFmtId="4" fontId="31" fillId="23" borderId="80" xfId="8" applyNumberFormat="1" applyFont="1" applyFill="1" applyBorder="1"/>
    <xf numFmtId="49" fontId="31" fillId="0" borderId="2" xfId="8" applyNumberFormat="1" applyFont="1" applyFill="1" applyBorder="1" applyAlignment="1">
      <alignment horizontal="center"/>
    </xf>
    <xf numFmtId="0" fontId="31" fillId="0" borderId="2" xfId="8" applyFont="1" applyFill="1" applyBorder="1"/>
    <xf numFmtId="4" fontId="29" fillId="0" borderId="2" xfId="8" applyNumberFormat="1" applyFont="1" applyFill="1" applyBorder="1"/>
    <xf numFmtId="4" fontId="30" fillId="0" borderId="2" xfId="8" applyNumberFormat="1" applyFont="1" applyFill="1" applyBorder="1"/>
    <xf numFmtId="4" fontId="30" fillId="0" borderId="80" xfId="8" applyNumberFormat="1" applyFont="1" applyFill="1" applyBorder="1"/>
    <xf numFmtId="4" fontId="28" fillId="0" borderId="2" xfId="8" applyNumberFormat="1" applyFont="1" applyFill="1" applyBorder="1"/>
    <xf numFmtId="4" fontId="31" fillId="0" borderId="2" xfId="8" applyNumberFormat="1" applyFont="1" applyFill="1" applyBorder="1"/>
    <xf numFmtId="4" fontId="31" fillId="0" borderId="80" xfId="8" applyNumberFormat="1" applyFont="1" applyFill="1" applyBorder="1"/>
    <xf numFmtId="49" fontId="31" fillId="8" borderId="2" xfId="8" applyNumberFormat="1" applyFont="1" applyFill="1" applyBorder="1" applyAlignment="1">
      <alignment horizontal="center"/>
    </xf>
    <xf numFmtId="0" fontId="31" fillId="8" borderId="2" xfId="8" applyFont="1" applyFill="1" applyBorder="1"/>
    <xf numFmtId="4" fontId="29" fillId="8" borderId="2" xfId="8" applyNumberFormat="1" applyFont="1" applyFill="1" applyBorder="1"/>
    <xf numFmtId="4" fontId="30" fillId="8" borderId="2" xfId="8" applyNumberFormat="1" applyFont="1" applyFill="1" applyBorder="1"/>
    <xf numFmtId="4" fontId="30" fillId="8" borderId="80" xfId="8" applyNumberFormat="1" applyFont="1" applyFill="1" applyBorder="1"/>
    <xf numFmtId="4" fontId="28" fillId="8" borderId="2" xfId="8" applyNumberFormat="1" applyFont="1" applyFill="1" applyBorder="1"/>
    <xf numFmtId="4" fontId="31" fillId="8" borderId="2" xfId="8" applyNumberFormat="1" applyFont="1" applyFill="1" applyBorder="1"/>
    <xf numFmtId="4" fontId="31" fillId="8" borderId="80" xfId="8" applyNumberFormat="1" applyFont="1" applyFill="1" applyBorder="1"/>
    <xf numFmtId="49" fontId="31" fillId="20" borderId="2" xfId="8" applyNumberFormat="1" applyFont="1" applyFill="1" applyBorder="1" applyAlignment="1">
      <alignment horizontal="center"/>
    </xf>
    <xf numFmtId="0" fontId="31" fillId="20" borderId="2" xfId="8" applyFont="1" applyFill="1" applyBorder="1"/>
    <xf numFmtId="4" fontId="29" fillId="20" borderId="2" xfId="8" applyNumberFormat="1" applyFont="1" applyFill="1" applyBorder="1"/>
    <xf numFmtId="4" fontId="30" fillId="20" borderId="2" xfId="8" applyNumberFormat="1" applyFont="1" applyFill="1" applyBorder="1"/>
    <xf numFmtId="4" fontId="30" fillId="20" borderId="80" xfId="8" applyNumberFormat="1" applyFont="1" applyFill="1" applyBorder="1"/>
    <xf numFmtId="4" fontId="28" fillId="20" borderId="2" xfId="8" applyNumberFormat="1" applyFont="1" applyFill="1" applyBorder="1"/>
    <xf numFmtId="4" fontId="31" fillId="20" borderId="2" xfId="8" applyNumberFormat="1" applyFont="1" applyFill="1" applyBorder="1"/>
    <xf numFmtId="4" fontId="31" fillId="20" borderId="80" xfId="8" applyNumberFormat="1" applyFont="1" applyFill="1" applyBorder="1"/>
    <xf numFmtId="49" fontId="31" fillId="24" borderId="2" xfId="8" applyNumberFormat="1" applyFont="1" applyFill="1" applyBorder="1" applyAlignment="1">
      <alignment horizontal="center"/>
    </xf>
    <xf numFmtId="0" fontId="31" fillId="24" borderId="2" xfId="8" applyFont="1" applyFill="1" applyBorder="1"/>
    <xf numFmtId="4" fontId="30" fillId="24" borderId="2" xfId="8" applyNumberFormat="1" applyFont="1" applyFill="1" applyBorder="1"/>
    <xf numFmtId="4" fontId="29" fillId="24" borderId="2" xfId="8" applyNumberFormat="1" applyFont="1" applyFill="1" applyBorder="1"/>
    <xf numFmtId="4" fontId="30" fillId="24" borderId="80" xfId="8" applyNumberFormat="1" applyFont="1" applyFill="1" applyBorder="1"/>
    <xf numFmtId="4" fontId="31" fillId="24" borderId="2" xfId="8" applyNumberFormat="1" applyFont="1" applyFill="1" applyBorder="1"/>
    <xf numFmtId="4" fontId="28" fillId="24" borderId="2" xfId="8" applyNumberFormat="1" applyFont="1" applyFill="1" applyBorder="1"/>
    <xf numFmtId="4" fontId="31" fillId="24" borderId="80" xfId="8" applyNumberFormat="1" applyFont="1" applyFill="1" applyBorder="1"/>
    <xf numFmtId="0" fontId="31" fillId="15" borderId="2" xfId="8" applyFont="1" applyFill="1" applyBorder="1"/>
    <xf numFmtId="4" fontId="29" fillId="15" borderId="2" xfId="8" applyNumberFormat="1" applyFont="1" applyFill="1" applyBorder="1"/>
    <xf numFmtId="4" fontId="30" fillId="15" borderId="2" xfId="8" applyNumberFormat="1" applyFont="1" applyFill="1" applyBorder="1"/>
    <xf numFmtId="4" fontId="30" fillId="15" borderId="80" xfId="8" applyNumberFormat="1" applyFont="1" applyFill="1" applyBorder="1"/>
    <xf numFmtId="4" fontId="28" fillId="15" borderId="2" xfId="8" applyNumberFormat="1" applyFont="1" applyFill="1" applyBorder="1"/>
    <xf numFmtId="4" fontId="31" fillId="15" borderId="2" xfId="8" applyNumberFormat="1" applyFont="1" applyFill="1" applyBorder="1"/>
    <xf numFmtId="4" fontId="31" fillId="15" borderId="80" xfId="8" applyNumberFormat="1" applyFont="1" applyFill="1" applyBorder="1"/>
    <xf numFmtId="49" fontId="31" fillId="21" borderId="2" xfId="8" applyNumberFormat="1" applyFont="1" applyFill="1" applyBorder="1" applyAlignment="1">
      <alignment horizontal="center"/>
    </xf>
    <xf numFmtId="0" fontId="31" fillId="21" borderId="2" xfId="8" applyFont="1" applyFill="1" applyBorder="1"/>
    <xf numFmtId="49" fontId="31" fillId="25" borderId="2" xfId="8" applyNumberFormat="1" applyFont="1" applyFill="1" applyBorder="1" applyAlignment="1">
      <alignment horizontal="center"/>
    </xf>
    <xf numFmtId="0" fontId="31" fillId="25" borderId="2" xfId="8" applyFont="1" applyFill="1" applyBorder="1"/>
    <xf numFmtId="4" fontId="29" fillId="25" borderId="2" xfId="8" applyNumberFormat="1" applyFont="1" applyFill="1" applyBorder="1"/>
    <xf numFmtId="4" fontId="30" fillId="25" borderId="2" xfId="8" applyNumberFormat="1" applyFont="1" applyFill="1" applyBorder="1"/>
    <xf numFmtId="4" fontId="30" fillId="25" borderId="80" xfId="8" applyNumberFormat="1" applyFont="1" applyFill="1" applyBorder="1"/>
    <xf numFmtId="4" fontId="28" fillId="25" borderId="2" xfId="8" applyNumberFormat="1" applyFont="1" applyFill="1" applyBorder="1"/>
    <xf numFmtId="4" fontId="31" fillId="25" borderId="2" xfId="8" applyNumberFormat="1" applyFont="1" applyFill="1" applyBorder="1"/>
    <xf numFmtId="4" fontId="31" fillId="25" borderId="80" xfId="8" applyNumberFormat="1" applyFont="1" applyFill="1" applyBorder="1"/>
    <xf numFmtId="4" fontId="29" fillId="0" borderId="81" xfId="8" applyNumberFormat="1" applyFont="1" applyFill="1" applyBorder="1"/>
    <xf numFmtId="4" fontId="28" fillId="0" borderId="81" xfId="8" applyNumberFormat="1" applyFont="1" applyFill="1" applyBorder="1"/>
    <xf numFmtId="49" fontId="30" fillId="0" borderId="2" xfId="8" applyNumberFormat="1" applyFont="1" applyFill="1" applyBorder="1" applyAlignment="1">
      <alignment horizontal="center"/>
    </xf>
    <xf numFmtId="0" fontId="30" fillId="0" borderId="2" xfId="8" applyFont="1" applyFill="1" applyBorder="1"/>
    <xf numFmtId="4" fontId="30" fillId="0" borderId="75" xfId="8" applyNumberFormat="1" applyFont="1" applyFill="1" applyBorder="1"/>
    <xf numFmtId="4" fontId="30" fillId="16" borderId="9" xfId="8" applyNumberFormat="1" applyFont="1" applyFill="1" applyBorder="1"/>
    <xf numFmtId="4" fontId="30" fillId="0" borderId="77" xfId="8" applyNumberFormat="1" applyFont="1" applyFill="1" applyBorder="1"/>
    <xf numFmtId="0" fontId="31" fillId="0" borderId="0" xfId="8" applyFont="1" applyFill="1"/>
    <xf numFmtId="0" fontId="28" fillId="0" borderId="0" xfId="8" applyFont="1" applyFill="1" applyAlignment="1">
      <alignment horizontal="right"/>
    </xf>
    <xf numFmtId="0" fontId="30" fillId="0" borderId="0" xfId="8" applyFont="1" applyFill="1"/>
    <xf numFmtId="4" fontId="30" fillId="0" borderId="0" xfId="8" applyNumberFormat="1" applyFont="1" applyFill="1"/>
    <xf numFmtId="0" fontId="29" fillId="0" borderId="0" xfId="8" applyFont="1"/>
    <xf numFmtId="4" fontId="28" fillId="0" borderId="0" xfId="8" applyNumberFormat="1" applyFont="1" applyFill="1"/>
    <xf numFmtId="4" fontId="31" fillId="0" borderId="0" xfId="8" applyNumberFormat="1" applyFont="1" applyFill="1"/>
    <xf numFmtId="0" fontId="28" fillId="0" borderId="0" xfId="8" applyFont="1"/>
    <xf numFmtId="4" fontId="28" fillId="0" borderId="0" xfId="8" applyNumberFormat="1" applyFont="1" applyFill="1" applyBorder="1"/>
    <xf numFmtId="4" fontId="29" fillId="0" borderId="0" xfId="8" applyNumberFormat="1" applyFont="1" applyFill="1" applyBorder="1"/>
    <xf numFmtId="0" fontId="31" fillId="0" borderId="0" xfId="8" applyFont="1" applyFill="1" applyBorder="1"/>
    <xf numFmtId="0" fontId="28" fillId="0" borderId="0" xfId="8" applyFont="1" applyFill="1"/>
    <xf numFmtId="0" fontId="29" fillId="0" borderId="0" xfId="8" applyFont="1" applyFill="1"/>
    <xf numFmtId="0" fontId="29" fillId="0" borderId="0" xfId="8" applyFont="1" applyFill="1" applyBorder="1"/>
    <xf numFmtId="0" fontId="32" fillId="0" borderId="0" xfId="8" applyFont="1" applyFill="1"/>
    <xf numFmtId="0" fontId="33" fillId="0" borderId="0" xfId="8" applyFont="1" applyFill="1"/>
    <xf numFmtId="0" fontId="34" fillId="0" borderId="0" xfId="8" applyFont="1" applyFill="1"/>
    <xf numFmtId="0" fontId="35" fillId="0" borderId="0" xfId="8" applyFont="1" applyFill="1"/>
    <xf numFmtId="0" fontId="22" fillId="0" borderId="0" xfId="7" applyFont="1" applyFill="1" applyBorder="1" applyAlignment="1">
      <alignment horizontal="center" wrapText="1"/>
    </xf>
    <xf numFmtId="4" fontId="11" fillId="0" borderId="0" xfId="7" applyNumberFormat="1" applyFont="1" applyBorder="1" applyAlignment="1">
      <alignment horizontal="left" wrapText="1"/>
    </xf>
    <xf numFmtId="3" fontId="11" fillId="0" borderId="0" xfId="7" applyNumberFormat="1" applyFont="1" applyBorder="1" applyAlignment="1">
      <alignment horizontal="left" wrapText="1"/>
    </xf>
    <xf numFmtId="0" fontId="0" fillId="24" borderId="0" xfId="0" applyFill="1"/>
    <xf numFmtId="0" fontId="0" fillId="26" borderId="0" xfId="0" applyFill="1"/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82" xfId="3" applyFont="1" applyFill="1" applyBorder="1" applyAlignment="1">
      <alignment horizontal="center" vertical="center" wrapText="1"/>
    </xf>
    <xf numFmtId="3" fontId="0" fillId="0" borderId="83" xfId="0" applyNumberFormat="1" applyFont="1" applyFill="1" applyBorder="1"/>
    <xf numFmtId="3" fontId="2" fillId="0" borderId="84" xfId="0" applyNumberFormat="1" applyFont="1" applyBorder="1"/>
    <xf numFmtId="0" fontId="6" fillId="2" borderId="85" xfId="3" applyFont="1" applyFill="1" applyBorder="1" applyAlignment="1">
      <alignment horizontal="center" vertical="center" wrapText="1"/>
    </xf>
    <xf numFmtId="3" fontId="0" fillId="0" borderId="14" xfId="0" applyNumberFormat="1" applyFont="1" applyFill="1" applyBorder="1"/>
    <xf numFmtId="3" fontId="0" fillId="0" borderId="86" xfId="0" applyNumberFormat="1" applyFont="1" applyFill="1" applyBorder="1"/>
    <xf numFmtId="3" fontId="2" fillId="0" borderId="87" xfId="0" applyNumberFormat="1" applyFont="1" applyBorder="1"/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3" fontId="2" fillId="2" borderId="26" xfId="0" applyNumberFormat="1" applyFont="1" applyFill="1" applyBorder="1" applyAlignment="1">
      <alignment horizontal="center" vertical="center"/>
    </xf>
    <xf numFmtId="3" fontId="2" fillId="2" borderId="27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6" fillId="2" borderId="10" xfId="2" applyFont="1" applyFill="1" applyBorder="1" applyAlignment="1">
      <alignment horizontal="center" vertical="center" wrapText="1"/>
    </xf>
    <xf numFmtId="0" fontId="6" fillId="2" borderId="12" xfId="2" applyFont="1" applyFill="1" applyBorder="1" applyAlignment="1">
      <alignment horizontal="center" vertical="center" wrapText="1"/>
    </xf>
    <xf numFmtId="0" fontId="6" fillId="2" borderId="11" xfId="2" applyFont="1" applyFill="1" applyBorder="1" applyAlignment="1">
      <alignment horizontal="center" vertical="center" wrapText="1"/>
    </xf>
    <xf numFmtId="0" fontId="6" fillId="2" borderId="13" xfId="2" applyFont="1" applyFill="1" applyBorder="1" applyAlignment="1">
      <alignment horizontal="center" vertical="center" wrapText="1"/>
    </xf>
    <xf numFmtId="0" fontId="2" fillId="8" borderId="18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6" fillId="2" borderId="26" xfId="3" applyFont="1" applyFill="1" applyBorder="1" applyAlignment="1">
      <alignment horizontal="center" vertical="center" wrapText="1"/>
    </xf>
    <xf numFmtId="0" fontId="6" fillId="2" borderId="27" xfId="3" applyFont="1" applyFill="1" applyBorder="1" applyAlignment="1">
      <alignment horizontal="center" vertical="center" wrapText="1"/>
    </xf>
    <xf numFmtId="0" fontId="6" fillId="2" borderId="25" xfId="2" applyFont="1" applyFill="1" applyBorder="1" applyAlignment="1">
      <alignment horizontal="center" vertical="center"/>
    </xf>
    <xf numFmtId="0" fontId="6" fillId="2" borderId="47" xfId="2" applyFont="1" applyFill="1" applyBorder="1" applyAlignment="1">
      <alignment horizontal="center" vertical="center"/>
    </xf>
    <xf numFmtId="3" fontId="0" fillId="0" borderId="48" xfId="0" applyNumberFormat="1" applyBorder="1" applyAlignment="1">
      <alignment horizontal="center"/>
    </xf>
    <xf numFmtId="3" fontId="0" fillId="0" borderId="41" xfId="0" applyNumberFormat="1" applyBorder="1" applyAlignment="1">
      <alignment horizontal="center"/>
    </xf>
    <xf numFmtId="3" fontId="0" fillId="0" borderId="49" xfId="0" applyNumberFormat="1" applyBorder="1" applyAlignment="1">
      <alignment horizontal="center"/>
    </xf>
    <xf numFmtId="3" fontId="0" fillId="0" borderId="50" xfId="0" applyNumberFormat="1" applyBorder="1" applyAlignment="1">
      <alignment horizontal="center"/>
    </xf>
    <xf numFmtId="3" fontId="0" fillId="0" borderId="42" xfId="0" applyNumberFormat="1" applyBorder="1" applyAlignment="1">
      <alignment horizontal="center"/>
    </xf>
    <xf numFmtId="3" fontId="0" fillId="0" borderId="51" xfId="0" applyNumberFormat="1" applyBorder="1" applyAlignment="1">
      <alignment horizontal="center"/>
    </xf>
    <xf numFmtId="3" fontId="2" fillId="8" borderId="50" xfId="0" applyNumberFormat="1" applyFont="1" applyFill="1" applyBorder="1" applyAlignment="1">
      <alignment horizontal="center"/>
    </xf>
    <xf numFmtId="3" fontId="2" fillId="8" borderId="42" xfId="0" applyNumberFormat="1" applyFont="1" applyFill="1" applyBorder="1" applyAlignment="1">
      <alignment horizontal="center"/>
    </xf>
    <xf numFmtId="3" fontId="2" fillId="8" borderId="51" xfId="0" applyNumberFormat="1" applyFont="1" applyFill="1" applyBorder="1" applyAlignment="1">
      <alignment horizontal="center"/>
    </xf>
    <xf numFmtId="3" fontId="0" fillId="0" borderId="52" xfId="0" applyNumberFormat="1" applyBorder="1" applyAlignment="1">
      <alignment horizontal="center"/>
    </xf>
    <xf numFmtId="3" fontId="0" fillId="0" borderId="43" xfId="0" applyNumberFormat="1" applyBorder="1" applyAlignment="1">
      <alignment horizontal="center"/>
    </xf>
    <xf numFmtId="3" fontId="0" fillId="0" borderId="53" xfId="0" applyNumberFormat="1" applyBorder="1" applyAlignment="1">
      <alignment horizontal="center"/>
    </xf>
    <xf numFmtId="3" fontId="6" fillId="0" borderId="0" xfId="0" applyNumberFormat="1" applyFont="1" applyAlignment="1">
      <alignment horizontal="center"/>
    </xf>
    <xf numFmtId="3" fontId="7" fillId="0" borderId="0" xfId="0" applyNumberFormat="1" applyFont="1" applyAlignment="1">
      <alignment horizontal="center"/>
    </xf>
    <xf numFmtId="3" fontId="9" fillId="0" borderId="0" xfId="0" applyNumberFormat="1" applyFont="1" applyAlignment="1">
      <alignment horizontal="center"/>
    </xf>
    <xf numFmtId="3" fontId="7" fillId="0" borderId="54" xfId="0" applyNumberFormat="1" applyFont="1" applyBorder="1" applyAlignment="1">
      <alignment horizontal="center"/>
    </xf>
    <xf numFmtId="0" fontId="2" fillId="2" borderId="23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55" xfId="0" applyFont="1" applyFill="1" applyBorder="1" applyAlignment="1">
      <alignment horizontal="center" vertical="center" wrapText="1"/>
    </xf>
    <xf numFmtId="0" fontId="2" fillId="2" borderId="56" xfId="0" applyFont="1" applyFill="1" applyBorder="1" applyAlignment="1">
      <alignment horizontal="center" vertical="center" wrapText="1"/>
    </xf>
    <xf numFmtId="0" fontId="2" fillId="2" borderId="5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18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2" borderId="19" xfId="3" applyFont="1" applyFill="1" applyBorder="1" applyAlignment="1">
      <alignment horizontal="center" vertical="center" wrapText="1"/>
    </xf>
    <xf numFmtId="0" fontId="6" fillId="2" borderId="20" xfId="3" applyFont="1" applyFill="1" applyBorder="1" applyAlignment="1">
      <alignment horizontal="center" vertical="center" wrapText="1"/>
    </xf>
    <xf numFmtId="0" fontId="6" fillId="2" borderId="88" xfId="3" applyFont="1" applyFill="1" applyBorder="1" applyAlignment="1">
      <alignment horizontal="center" vertical="center" wrapText="1"/>
    </xf>
    <xf numFmtId="0" fontId="6" fillId="2" borderId="89" xfId="3" applyFont="1" applyFill="1" applyBorder="1" applyAlignment="1">
      <alignment horizontal="center" vertical="center" wrapText="1"/>
    </xf>
    <xf numFmtId="0" fontId="6" fillId="2" borderId="62" xfId="3" applyFont="1" applyFill="1" applyBorder="1" applyAlignment="1">
      <alignment horizontal="center" vertical="center" wrapText="1"/>
    </xf>
    <xf numFmtId="0" fontId="6" fillId="2" borderId="28" xfId="3" applyFont="1" applyFill="1" applyBorder="1" applyAlignment="1">
      <alignment horizontal="center" vertical="center" wrapText="1"/>
    </xf>
    <xf numFmtId="0" fontId="6" fillId="2" borderId="90" xfId="3" applyFont="1" applyFill="1" applyBorder="1" applyAlignment="1">
      <alignment horizontal="center" vertical="center" wrapText="1"/>
    </xf>
    <xf numFmtId="0" fontId="6" fillId="2" borderId="91" xfId="3" applyFont="1" applyFill="1" applyBorder="1" applyAlignment="1">
      <alignment horizontal="center" vertical="center" wrapText="1"/>
    </xf>
    <xf numFmtId="0" fontId="8" fillId="0" borderId="78" xfId="0" applyFont="1" applyBorder="1" applyAlignment="1">
      <alignment horizontal="center"/>
    </xf>
    <xf numFmtId="0" fontId="29" fillId="0" borderId="78" xfId="0" applyFont="1" applyBorder="1" applyAlignment="1">
      <alignment horizontal="center"/>
    </xf>
    <xf numFmtId="0" fontId="22" fillId="0" borderId="75" xfId="7" applyFont="1" applyFill="1" applyBorder="1" applyAlignment="1">
      <alignment horizontal="left" wrapText="1"/>
    </xf>
    <xf numFmtId="0" fontId="22" fillId="0" borderId="76" xfId="7" applyFont="1" applyFill="1" applyBorder="1" applyAlignment="1">
      <alignment horizontal="left" wrapText="1"/>
    </xf>
    <xf numFmtId="0" fontId="22" fillId="0" borderId="77" xfId="7" applyFont="1" applyFill="1" applyBorder="1" applyAlignment="1">
      <alignment horizontal="left" wrapText="1"/>
    </xf>
  </cellXfs>
  <cellStyles count="9">
    <cellStyle name="Normální" xfId="0" builtinId="0"/>
    <cellStyle name="Normální 10" xfId="5"/>
    <cellStyle name="Normální 18" xfId="7"/>
    <cellStyle name="Normální 2" xfId="2"/>
    <cellStyle name="normální 2 5" xfId="3"/>
    <cellStyle name="Normální 3 3" xfId="8"/>
    <cellStyle name="procent 2" xfId="6"/>
    <cellStyle name="Procenta" xfId="1" builtinId="5"/>
    <cellStyle name="Procenta 3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Vývoj "A+K"</a:t>
            </a:r>
          </a:p>
        </c:rich>
      </c:tx>
      <c:layout/>
      <c:overlay val="0"/>
      <c:spPr>
        <a:noFill/>
        <a:ln w="19050"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488586351478185"/>
          <c:y val="9.2144522144522151E-2"/>
          <c:w val="0.79889112530609918"/>
          <c:h val="0.767624082254100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'1.3 A+K 2020'!$D$20</c:f>
              <c:strCache>
                <c:ptCount val="1"/>
                <c:pt idx="0">
                  <c:v>Příspěvek A+K 2018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'1.3 A+K 2020'!$B$21:$B$28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'1.3 A+K 2020'!$D$21:$D$28</c:f>
              <c:numCache>
                <c:formatCode>#,##0</c:formatCode>
                <c:ptCount val="8"/>
                <c:pt idx="0">
                  <c:v>64133638</c:v>
                </c:pt>
                <c:pt idx="1">
                  <c:v>40266178</c:v>
                </c:pt>
                <c:pt idx="2">
                  <c:v>34845080</c:v>
                </c:pt>
                <c:pt idx="3">
                  <c:v>111057956</c:v>
                </c:pt>
                <c:pt idx="4">
                  <c:v>101897204</c:v>
                </c:pt>
                <c:pt idx="5">
                  <c:v>28405865</c:v>
                </c:pt>
                <c:pt idx="6">
                  <c:v>109360257</c:v>
                </c:pt>
                <c:pt idx="7">
                  <c:v>69787412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0E5-4F81-A5DC-DB72CF9C2A50}"/>
            </c:ext>
          </c:extLst>
        </c:ser>
        <c:ser>
          <c:idx val="1"/>
          <c:order val="1"/>
          <c:tx>
            <c:strRef>
              <c:f>'1.3 A+K 2020'!$E$20</c:f>
              <c:strCache>
                <c:ptCount val="1"/>
                <c:pt idx="0">
                  <c:v>příspěvek A+K 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'1.3 A+K 2020'!$B$21:$B$28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'1.3 A+K 2020'!$E$21:$E$28</c:f>
              <c:numCache>
                <c:formatCode>#,##0</c:formatCode>
                <c:ptCount val="8"/>
                <c:pt idx="0">
                  <c:v>65131486</c:v>
                </c:pt>
                <c:pt idx="1">
                  <c:v>41157952</c:v>
                </c:pt>
                <c:pt idx="2">
                  <c:v>35265075</c:v>
                </c:pt>
                <c:pt idx="3">
                  <c:v>111813632</c:v>
                </c:pt>
                <c:pt idx="4">
                  <c:v>100129209</c:v>
                </c:pt>
                <c:pt idx="5">
                  <c:v>30284794</c:v>
                </c:pt>
                <c:pt idx="6">
                  <c:v>110819742</c:v>
                </c:pt>
                <c:pt idx="7">
                  <c:v>70988657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0E5-4F81-A5DC-DB72CF9C2A50}"/>
            </c:ext>
          </c:extLst>
        </c:ser>
        <c:ser>
          <c:idx val="2"/>
          <c:order val="2"/>
          <c:tx>
            <c:strRef>
              <c:f>'1.3 A+K 2020'!$F$20</c:f>
              <c:strCache>
                <c:ptCount val="1"/>
                <c:pt idx="0">
                  <c:v>příspěvek A+K 2020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'1.3 A+K 2020'!$B$21:$B$28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'1.3 A+K 2020'!$F$21:$F$28</c:f>
              <c:numCache>
                <c:formatCode>#,##0</c:formatCode>
                <c:ptCount val="8"/>
                <c:pt idx="0">
                  <c:v>67161489.740917563</c:v>
                </c:pt>
                <c:pt idx="1">
                  <c:v>42898825.695616581</c:v>
                </c:pt>
                <c:pt idx="2">
                  <c:v>37473660.077039063</c:v>
                </c:pt>
                <c:pt idx="3">
                  <c:v>117015667.17808439</c:v>
                </c:pt>
                <c:pt idx="4">
                  <c:v>106655897.86229089</c:v>
                </c:pt>
                <c:pt idx="5">
                  <c:v>31920343.907900896</c:v>
                </c:pt>
                <c:pt idx="6">
                  <c:v>117232500.0893667</c:v>
                </c:pt>
                <c:pt idx="7">
                  <c:v>76992775.847495064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0E5-4F81-A5DC-DB72CF9C2A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10915296"/>
        <c:axId val="410916080"/>
      </c:barChart>
      <c:catAx>
        <c:axId val="4109152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6080"/>
        <c:crosses val="autoZero"/>
        <c:auto val="1"/>
        <c:lblAlgn val="ctr"/>
        <c:lblOffset val="100"/>
        <c:noMultiLvlLbl val="0"/>
      </c:catAx>
      <c:valAx>
        <c:axId val="4109160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5296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15989441998259246"/>
          <c:y val="0.91977987730326671"/>
          <c:w val="0.68486048812453615"/>
          <c:h val="5.03709058978761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2"/>
    </a:solidFill>
    <a:ln w="19050" cap="flat" cmpd="sng" algn="ctr">
      <a:solidFill>
        <a:sysClr val="windowText" lastClr="000000"/>
      </a:solidFill>
      <a:round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cs-CZ" b="1">
                <a:solidFill>
                  <a:sysClr val="windowText" lastClr="000000"/>
                </a:solidFill>
              </a:rPr>
              <a:t>RVO - 2018 -</a:t>
            </a:r>
            <a:r>
              <a:rPr lang="cs-CZ" b="1" baseline="0">
                <a:solidFill>
                  <a:sysClr val="windowText" lastClr="000000"/>
                </a:solidFill>
              </a:rPr>
              <a:t> </a:t>
            </a:r>
            <a:r>
              <a:rPr lang="cs-CZ" b="1">
                <a:solidFill>
                  <a:sysClr val="windowText" lastClr="000000"/>
                </a:solidFill>
              </a:rPr>
              <a:t>2020</a:t>
            </a:r>
          </a:p>
        </c:rich>
      </c:tx>
      <c:layout>
        <c:manualLayout>
          <c:xMode val="edge"/>
          <c:yMode val="edge"/>
          <c:x val="0.35459641542237674"/>
          <c:y val="1.8957345971563982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1502973396309384"/>
          <c:y val="0.12489731437598736"/>
          <c:w val="0.82166087526478992"/>
          <c:h val="0.713686109141570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 Dotace na RVO'!$C$43</c:f>
              <c:strCache>
                <c:ptCount val="1"/>
                <c:pt idx="0">
                  <c:v>dotace RVO 2018 </c:v>
                </c:pt>
              </c:strCache>
            </c:strRef>
          </c:tx>
          <c:spPr>
            <a:solidFill>
              <a:schemeClr val="accent2">
                <a:lumMod val="60000"/>
                <a:lumOff val="4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 Dotace na RVO'!$B$44:$B$51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'2 Dotace na RVO'!$C$44:$C$51</c:f>
              <c:numCache>
                <c:formatCode>#,##0</c:formatCode>
                <c:ptCount val="8"/>
                <c:pt idx="0">
                  <c:v>8852844</c:v>
                </c:pt>
                <c:pt idx="1">
                  <c:v>18171550</c:v>
                </c:pt>
                <c:pt idx="2">
                  <c:v>51821464</c:v>
                </c:pt>
                <c:pt idx="3">
                  <c:v>11586620</c:v>
                </c:pt>
                <c:pt idx="4">
                  <c:v>92992436</c:v>
                </c:pt>
                <c:pt idx="5">
                  <c:v>10667823</c:v>
                </c:pt>
                <c:pt idx="6">
                  <c:v>6423662</c:v>
                </c:pt>
                <c:pt idx="7">
                  <c:v>21597839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B1-4FEC-8898-8EBB7F64A9ED}"/>
            </c:ext>
          </c:extLst>
        </c:ser>
        <c:ser>
          <c:idx val="1"/>
          <c:order val="1"/>
          <c:tx>
            <c:strRef>
              <c:f>'2 Dotace na RVO'!$D$43</c:f>
              <c:strCache>
                <c:ptCount val="1"/>
                <c:pt idx="0">
                  <c:v>dotace RVO 2019 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'2 Dotace na RVO'!$B$44:$B$51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'2 Dotace na RVO'!$D$44:$D$51</c:f>
              <c:numCache>
                <c:formatCode>#,##0</c:formatCode>
                <c:ptCount val="8"/>
                <c:pt idx="0">
                  <c:v>8539741</c:v>
                </c:pt>
                <c:pt idx="1">
                  <c:v>18546423</c:v>
                </c:pt>
                <c:pt idx="2">
                  <c:v>63721493</c:v>
                </c:pt>
                <c:pt idx="3">
                  <c:v>11274733</c:v>
                </c:pt>
                <c:pt idx="4">
                  <c:v>89563833</c:v>
                </c:pt>
                <c:pt idx="5">
                  <c:v>10981105</c:v>
                </c:pt>
                <c:pt idx="6">
                  <c:v>6831790</c:v>
                </c:pt>
                <c:pt idx="7">
                  <c:v>20766897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8B1-4FEC-8898-8EBB7F64A9ED}"/>
            </c:ext>
          </c:extLst>
        </c:ser>
        <c:ser>
          <c:idx val="2"/>
          <c:order val="2"/>
          <c:tx>
            <c:strRef>
              <c:f>'2 Dotace na RVO'!$E$43</c:f>
              <c:strCache>
                <c:ptCount val="1"/>
                <c:pt idx="0">
                  <c:v>dotace RVO 2020 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'2 Dotace na RVO'!$B$44:$B$51</c:f>
              <c:strCache>
                <c:ptCount val="8"/>
                <c:pt idx="0">
                  <c:v>EF</c:v>
                </c:pt>
                <c:pt idx="1">
                  <c:v>FF</c:v>
                </c:pt>
                <c:pt idx="2">
                  <c:v>FROV</c:v>
                </c:pt>
                <c:pt idx="3">
                  <c:v>PF</c:v>
                </c:pt>
                <c:pt idx="4">
                  <c:v>PŘF</c:v>
                </c:pt>
                <c:pt idx="5">
                  <c:v>TF</c:v>
                </c:pt>
                <c:pt idx="6">
                  <c:v>ZSF</c:v>
                </c:pt>
                <c:pt idx="7">
                  <c:v>ZF</c:v>
                </c:pt>
              </c:strCache>
            </c:strRef>
          </c:cat>
          <c:val>
            <c:numRef>
              <c:f>'2 Dotace na RVO'!$E$44:$E$51</c:f>
              <c:numCache>
                <c:formatCode>#,##0</c:formatCode>
                <c:ptCount val="8"/>
                <c:pt idx="0">
                  <c:v>8662409.928652551</c:v>
                </c:pt>
                <c:pt idx="1">
                  <c:v>19919073.018374201</c:v>
                </c:pt>
                <c:pt idx="2">
                  <c:v>70805430.566663563</c:v>
                </c:pt>
                <c:pt idx="3">
                  <c:v>12012041.108804535</c:v>
                </c:pt>
                <c:pt idx="4">
                  <c:v>104072012.76341461</c:v>
                </c:pt>
                <c:pt idx="5">
                  <c:v>12588402.290259426</c:v>
                </c:pt>
                <c:pt idx="6">
                  <c:v>7623430.4475521473</c:v>
                </c:pt>
                <c:pt idx="7">
                  <c:v>19362399.751279004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8B1-4FEC-8898-8EBB7F64A9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10916864"/>
        <c:axId val="410914120"/>
      </c:barChart>
      <c:catAx>
        <c:axId val="4109168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4120"/>
        <c:crosses val="autoZero"/>
        <c:auto val="1"/>
        <c:lblAlgn val="ctr"/>
        <c:lblOffset val="100"/>
        <c:noMultiLvlLbl val="0"/>
      </c:catAx>
      <c:valAx>
        <c:axId val="410914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686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24392242688717047"/>
          <c:y val="0.91508651465960134"/>
          <c:w val="0.51982886071344891"/>
          <c:h val="5.331790872112550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ysClr val="windowText" lastClr="000000"/>
      </a:solidFill>
      <a:round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ysClr val="windowText" lastClr="000000"/>
                </a:solidFill>
                <a:latin typeface="+mj-lt"/>
                <a:ea typeface="+mj-ea"/>
                <a:cs typeface="+mj-cs"/>
              </a:defRPr>
            </a:pPr>
            <a:r>
              <a:rPr lang="cs-CZ">
                <a:solidFill>
                  <a:sysClr val="windowText" lastClr="000000"/>
                </a:solidFill>
              </a:rPr>
              <a:t>Institucionální prostředky - 2018-2020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ysClr val="windowText" lastClr="000000"/>
              </a:solidFill>
              <a:latin typeface="+mj-lt"/>
              <a:ea typeface="+mj-ea"/>
              <a:cs typeface="+mj-cs"/>
            </a:defRPr>
          </a:pPr>
          <a:endParaRPr lang="cs-CZ"/>
        </a:p>
      </c:txPr>
    </c:title>
    <c:autoTitleDeleted val="0"/>
    <c:plotArea>
      <c:layout>
        <c:manualLayout>
          <c:layoutTarget val="inner"/>
          <c:xMode val="edge"/>
          <c:yMode val="edge"/>
          <c:x val="0.10315570444887272"/>
          <c:y val="0.1123809272241879"/>
          <c:w val="0.8546195025114246"/>
          <c:h val="0.7566357735203009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 Rekapituace'!$C$15</c:f>
              <c:strCache>
                <c:ptCount val="1"/>
                <c:pt idx="0">
                  <c:v>rok 2018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 Rekapituace'!$A$16:$A$23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'3 Rekapituace'!$C$16:$C$23</c:f>
              <c:numCache>
                <c:formatCode>#,##0</c:formatCode>
                <c:ptCount val="8"/>
                <c:pt idx="0">
                  <c:v>72986482</c:v>
                </c:pt>
                <c:pt idx="1">
                  <c:v>58437728</c:v>
                </c:pt>
                <c:pt idx="2">
                  <c:v>86666544</c:v>
                </c:pt>
                <c:pt idx="3">
                  <c:v>122644576</c:v>
                </c:pt>
                <c:pt idx="4">
                  <c:v>194889640</c:v>
                </c:pt>
                <c:pt idx="5">
                  <c:v>39073688</c:v>
                </c:pt>
                <c:pt idx="6">
                  <c:v>115783919</c:v>
                </c:pt>
                <c:pt idx="7">
                  <c:v>91385251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3B3-4298-9782-5C1ECBB2985A}"/>
            </c:ext>
          </c:extLst>
        </c:ser>
        <c:ser>
          <c:idx val="1"/>
          <c:order val="1"/>
          <c:tx>
            <c:strRef>
              <c:f>'3 Rekapituace'!$D$15</c:f>
              <c:strCache>
                <c:ptCount val="1"/>
                <c:pt idx="0">
                  <c:v>rok 2019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cat>
            <c:strRef>
              <c:f>'3 Rekapituace'!$A$16:$A$23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'3 Rekapituace'!$D$16:$D$23</c:f>
              <c:numCache>
                <c:formatCode>#,##0</c:formatCode>
                <c:ptCount val="8"/>
                <c:pt idx="0">
                  <c:v>73671227</c:v>
                </c:pt>
                <c:pt idx="1">
                  <c:v>59704375</c:v>
                </c:pt>
                <c:pt idx="2">
                  <c:v>98986568</c:v>
                </c:pt>
                <c:pt idx="3">
                  <c:v>123088365</c:v>
                </c:pt>
                <c:pt idx="4">
                  <c:v>189693042</c:v>
                </c:pt>
                <c:pt idx="5">
                  <c:v>41265899</c:v>
                </c:pt>
                <c:pt idx="6">
                  <c:v>117651532</c:v>
                </c:pt>
                <c:pt idx="7">
                  <c:v>91755554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3B3-4298-9782-5C1ECBB2985A}"/>
            </c:ext>
          </c:extLst>
        </c:ser>
        <c:ser>
          <c:idx val="2"/>
          <c:order val="2"/>
          <c:tx>
            <c:strRef>
              <c:f>'3 Rekapituace'!$E$15</c:f>
              <c:strCache>
                <c:ptCount val="1"/>
                <c:pt idx="0">
                  <c:v>rok 2020</c:v>
                </c:pt>
              </c:strCache>
            </c:strRef>
          </c:tx>
          <c:spPr>
            <a:solidFill>
              <a:srgbClr val="0070C0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dk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cs-CZ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dk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'3 Rekapituace'!$A$16:$A$23</c:f>
              <c:strCache>
                <c:ptCount val="8"/>
                <c:pt idx="0">
                  <c:v>Ekonomická fakulta</c:v>
                </c:pt>
                <c:pt idx="1">
                  <c:v>Filozofická fakulta</c:v>
                </c:pt>
                <c:pt idx="2">
                  <c:v>Fakulta rybářství a ochrany vod</c:v>
                </c:pt>
                <c:pt idx="3">
                  <c:v>Pedagogická fakulta</c:v>
                </c:pt>
                <c:pt idx="4">
                  <c:v>Přírodovědecká fakulta</c:v>
                </c:pt>
                <c:pt idx="5">
                  <c:v>Teologická fakulta</c:v>
                </c:pt>
                <c:pt idx="6">
                  <c:v>Zdravotně sociální fakulta</c:v>
                </c:pt>
                <c:pt idx="7">
                  <c:v>Zemědělská fakulta</c:v>
                </c:pt>
              </c:strCache>
            </c:strRef>
          </c:cat>
          <c:val>
            <c:numRef>
              <c:f>'3 Rekapituace'!$E$16:$E$23</c:f>
              <c:numCache>
                <c:formatCode>#,##0</c:formatCode>
                <c:ptCount val="8"/>
                <c:pt idx="0">
                  <c:v>75823899.669570118</c:v>
                </c:pt>
                <c:pt idx="1">
                  <c:v>62817898.713990778</c:v>
                </c:pt>
                <c:pt idx="2">
                  <c:v>108279090.64370263</c:v>
                </c:pt>
                <c:pt idx="3">
                  <c:v>129027708.28688893</c:v>
                </c:pt>
                <c:pt idx="4">
                  <c:v>210727910.62570548</c:v>
                </c:pt>
                <c:pt idx="5">
                  <c:v>44508746.198160321</c:v>
                </c:pt>
                <c:pt idx="6">
                  <c:v>124855930.53691885</c:v>
                </c:pt>
                <c:pt idx="7">
                  <c:v>96355175.598774076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3B3-4298-9782-5C1ECBB298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10912944"/>
        <c:axId val="410915688"/>
      </c:barChart>
      <c:catAx>
        <c:axId val="410912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5688"/>
        <c:crosses val="autoZero"/>
        <c:auto val="1"/>
        <c:lblAlgn val="ctr"/>
        <c:lblOffset val="100"/>
        <c:noMultiLvlLbl val="0"/>
      </c:catAx>
      <c:valAx>
        <c:axId val="4109156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cs-CZ"/>
          </a:p>
        </c:txPr>
        <c:crossAx val="410912944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solidFill>
            <a:sysClr val="windowText" lastClr="000000"/>
          </a:solidFill>
        </a:ln>
        <a:effectLst/>
      </c:spPr>
    </c:plotArea>
    <c:legend>
      <c:legendPos val="b"/>
      <c:layout>
        <c:manualLayout>
          <c:xMode val="edge"/>
          <c:yMode val="edge"/>
          <c:x val="0.36951233224101754"/>
          <c:y val="0.91791013035830282"/>
          <c:w val="0.26097533551796498"/>
          <c:h val="4.797473868570786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chemeClr val="bg1">
        <a:lumMod val="95000"/>
      </a:schemeClr>
    </a:solidFill>
    <a:ln w="9525" cap="flat" cmpd="sng" algn="ctr">
      <a:solidFill>
        <a:sysClr val="windowText" lastClr="000000"/>
      </a:solidFill>
      <a:round/>
    </a:ln>
    <a:effectLst>
      <a:innerShdw blurRad="63500" dist="50800" dir="18900000">
        <a:prstClr val="black">
          <a:alpha val="50000"/>
        </a:prstClr>
      </a:innerShdw>
    </a:effectLst>
  </c:spPr>
  <c:txPr>
    <a:bodyPr/>
    <a:lstStyle/>
    <a:p>
      <a:pPr>
        <a:defRPr/>
      </a:pPr>
      <a:endParaRPr lang="cs-CZ"/>
    </a:p>
  </c:txPr>
  <c:printSettings>
    <c:headerFooter/>
    <c:pageMargins b="0.78740157499999996" l="0.7" r="0.7" t="0.78740157499999996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4194</xdr:colOff>
      <xdr:row>8</xdr:row>
      <xdr:rowOff>2957</xdr:rowOff>
    </xdr:from>
    <xdr:to>
      <xdr:col>15</xdr:col>
      <xdr:colOff>590549</xdr:colOff>
      <xdr:row>28</xdr:row>
      <xdr:rowOff>190500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142878</xdr:colOff>
      <xdr:row>0</xdr:row>
      <xdr:rowOff>47625</xdr:rowOff>
    </xdr:from>
    <xdr:to>
      <xdr:col>15</xdr:col>
      <xdr:colOff>828674</xdr:colOff>
      <xdr:row>21</xdr:row>
      <xdr:rowOff>152400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114299</xdr:colOff>
      <xdr:row>2</xdr:row>
      <xdr:rowOff>19048</xdr:rowOff>
    </xdr:from>
    <xdr:to>
      <xdr:col>22</xdr:col>
      <xdr:colOff>57149</xdr:colOff>
      <xdr:row>29</xdr:row>
      <xdr:rowOff>171450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dysea/PEC/jcu_ww_roz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ENU"/>
      <sheetName val="PREKLEN"/>
      <sheetName val="DATA"/>
      <sheetName val="STAVY"/>
      <sheetName val="Report"/>
      <sheetName val="DOC"/>
      <sheetName val="DCD"/>
      <sheetName val="CFG"/>
      <sheetName val="SEL Ora"/>
      <sheetName val="Zdroj"/>
      <sheetName val="Zdroj (2)"/>
      <sheetName val="SEL 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zoomScaleNormal="100" workbookViewId="0">
      <selection activeCell="D26" sqref="D26"/>
    </sheetView>
  </sheetViews>
  <sheetFormatPr defaultRowHeight="15" x14ac:dyDescent="0.25"/>
  <cols>
    <col min="1" max="1" width="117.7109375" bestFit="1" customWidth="1"/>
    <col min="2" max="2" width="26.7109375" bestFit="1" customWidth="1"/>
  </cols>
  <sheetData>
    <row r="1" spans="1:2" ht="15.75" x14ac:dyDescent="0.25">
      <c r="A1" s="1" t="s">
        <v>36</v>
      </c>
      <c r="B1" s="35" t="s">
        <v>25</v>
      </c>
    </row>
    <row r="2" spans="1:2" ht="15.75" x14ac:dyDescent="0.25">
      <c r="A2" s="36" t="s">
        <v>44</v>
      </c>
      <c r="B2" s="38" t="s">
        <v>32</v>
      </c>
    </row>
    <row r="3" spans="1:2" ht="15.75" x14ac:dyDescent="0.25">
      <c r="A3" s="36" t="s">
        <v>71</v>
      </c>
      <c r="B3" s="53" t="s">
        <v>126</v>
      </c>
    </row>
    <row r="4" spans="1:2" ht="15.75" x14ac:dyDescent="0.25">
      <c r="A4" s="36" t="s">
        <v>86</v>
      </c>
      <c r="B4" s="49" t="s">
        <v>27</v>
      </c>
    </row>
    <row r="5" spans="1:2" ht="15.75" x14ac:dyDescent="0.25">
      <c r="A5" s="24" t="s">
        <v>127</v>
      </c>
      <c r="B5" s="48" t="s">
        <v>29</v>
      </c>
    </row>
    <row r="6" spans="1:2" ht="15.75" x14ac:dyDescent="0.25">
      <c r="A6" s="36" t="s">
        <v>378</v>
      </c>
      <c r="B6" s="480" t="s">
        <v>381</v>
      </c>
    </row>
    <row r="7" spans="1:2" ht="15.75" x14ac:dyDescent="0.25">
      <c r="A7" s="36" t="s">
        <v>379</v>
      </c>
      <c r="B7" s="481" t="s">
        <v>380</v>
      </c>
    </row>
  </sheetData>
  <pageMargins left="0.7" right="0.7" top="0.78740157499999996" bottom="0.78740157499999996" header="0.3" footer="0.3"/>
  <pageSetup paperSize="9" scale="61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A1:L35"/>
  <sheetViews>
    <sheetView zoomScaleNormal="100" workbookViewId="0">
      <selection activeCell="C6" sqref="C6"/>
    </sheetView>
  </sheetViews>
  <sheetFormatPr defaultColWidth="9.140625" defaultRowHeight="15" x14ac:dyDescent="0.25"/>
  <cols>
    <col min="1" max="1" width="50" style="5" customWidth="1"/>
    <col min="2" max="2" width="0.85546875" style="5" customWidth="1"/>
    <col min="3" max="7" width="17.7109375" style="5" customWidth="1"/>
    <col min="8" max="8" width="20.140625" style="5" customWidth="1"/>
    <col min="9" max="9" width="20" style="5" bestFit="1" customWidth="1"/>
    <col min="10" max="10" width="17.28515625" style="5" customWidth="1"/>
    <col min="11" max="11" width="17.140625" style="5" customWidth="1"/>
    <col min="12" max="12" width="12" style="5" bestFit="1" customWidth="1"/>
    <col min="13" max="13" width="9.140625" style="5"/>
    <col min="14" max="14" width="12.5703125" style="5" bestFit="1" customWidth="1"/>
    <col min="15" max="16384" width="9.140625" style="5"/>
  </cols>
  <sheetData>
    <row r="1" spans="1:12" s="2" customFormat="1" ht="15.75" x14ac:dyDescent="0.25">
      <c r="A1" s="1" t="s">
        <v>36</v>
      </c>
      <c r="B1" s="1"/>
    </row>
    <row r="2" spans="1:12" ht="5.0999999999999996" customHeight="1" thickBot="1" x14ac:dyDescent="0.3">
      <c r="A2" s="3"/>
      <c r="B2" s="3"/>
      <c r="C2" s="4"/>
      <c r="D2" s="4"/>
      <c r="E2" s="4"/>
      <c r="F2" s="4"/>
      <c r="G2" s="4"/>
    </row>
    <row r="3" spans="1:12" ht="15" customHeight="1" x14ac:dyDescent="0.25">
      <c r="A3" s="271" t="s">
        <v>55</v>
      </c>
      <c r="B3" s="173"/>
      <c r="C3" s="276">
        <v>462534370</v>
      </c>
      <c r="D3" s="4"/>
      <c r="E3" s="4"/>
      <c r="F3" s="4"/>
      <c r="G3" s="4"/>
    </row>
    <row r="4" spans="1:12" ht="15.75" thickBot="1" x14ac:dyDescent="0.3">
      <c r="A4" s="272" t="s">
        <v>54</v>
      </c>
      <c r="B4" s="173"/>
      <c r="C4" s="277">
        <v>470424978</v>
      </c>
      <c r="D4" s="4"/>
      <c r="E4" s="4"/>
      <c r="F4" s="4"/>
      <c r="G4" s="4"/>
    </row>
    <row r="5" spans="1:12" ht="5.0999999999999996" customHeight="1" thickBot="1" x14ac:dyDescent="0.3">
      <c r="A5" s="130"/>
      <c r="B5" s="282"/>
      <c r="C5" s="131"/>
      <c r="D5" s="4"/>
      <c r="E5" s="4"/>
      <c r="F5" s="4"/>
      <c r="G5" s="4"/>
    </row>
    <row r="6" spans="1:12" x14ac:dyDescent="0.25">
      <c r="A6" s="271" t="s">
        <v>56</v>
      </c>
      <c r="B6" s="173"/>
      <c r="C6" s="278">
        <v>517735443.15653801</v>
      </c>
      <c r="D6" s="3"/>
      <c r="E6" s="3"/>
      <c r="F6" s="3"/>
      <c r="G6" s="3"/>
    </row>
    <row r="7" spans="1:12" x14ac:dyDescent="0.25">
      <c r="A7" s="273" t="s">
        <v>58</v>
      </c>
      <c r="B7" s="284"/>
      <c r="C7" s="279">
        <f>C6*0.95</f>
        <v>491848670.99871111</v>
      </c>
      <c r="D7" s="3"/>
      <c r="E7" s="3"/>
      <c r="F7" s="3"/>
      <c r="G7" s="3"/>
    </row>
    <row r="8" spans="1:12" x14ac:dyDescent="0.25">
      <c r="A8" s="274" t="s">
        <v>57</v>
      </c>
      <c r="B8" s="283"/>
      <c r="C8" s="280">
        <f>C6-C7</f>
        <v>25886772.1578269</v>
      </c>
      <c r="D8" s="3"/>
      <c r="E8" s="3"/>
      <c r="F8" s="3"/>
      <c r="G8" s="3"/>
    </row>
    <row r="9" spans="1:12" x14ac:dyDescent="0.25">
      <c r="A9" s="274" t="s">
        <v>40</v>
      </c>
      <c r="B9" s="283"/>
      <c r="C9" s="280">
        <f>C7*0.9</f>
        <v>442663803.89884001</v>
      </c>
      <c r="D9" s="4" t="s">
        <v>128</v>
      </c>
      <c r="E9" s="3"/>
      <c r="F9" s="3"/>
      <c r="G9" s="3"/>
    </row>
    <row r="10" spans="1:12" ht="15.75" thickBot="1" x14ac:dyDescent="0.3">
      <c r="A10" s="275" t="s">
        <v>42</v>
      </c>
      <c r="B10" s="283"/>
      <c r="C10" s="281">
        <f>C7*0.1</f>
        <v>49184867.099871114</v>
      </c>
      <c r="D10" s="4" t="s">
        <v>129</v>
      </c>
      <c r="E10" s="3"/>
      <c r="F10" s="3"/>
      <c r="G10" s="3"/>
    </row>
    <row r="11" spans="1:12" ht="5.0999999999999996" customHeight="1" thickBot="1" x14ac:dyDescent="0.3"/>
    <row r="12" spans="1:12" ht="50.1" customHeight="1" x14ac:dyDescent="0.25">
      <c r="A12" s="260" t="s">
        <v>38</v>
      </c>
      <c r="B12" s="154"/>
      <c r="C12" s="156" t="s">
        <v>39</v>
      </c>
      <c r="D12" s="119" t="s">
        <v>37</v>
      </c>
      <c r="E12" s="119" t="s">
        <v>43</v>
      </c>
      <c r="F12" s="119" t="s">
        <v>41</v>
      </c>
      <c r="G12" s="120" t="s">
        <v>52</v>
      </c>
      <c r="H12"/>
      <c r="I12"/>
      <c r="J12"/>
      <c r="K12"/>
      <c r="L12"/>
    </row>
    <row r="13" spans="1:12" s="6" customFormat="1" x14ac:dyDescent="0.25">
      <c r="A13" s="218" t="s">
        <v>0</v>
      </c>
      <c r="B13" s="152"/>
      <c r="C13" s="255">
        <v>0.11380262848202759</v>
      </c>
      <c r="D13" s="26">
        <f>$C$9*C13</f>
        <v>50376304.417540804</v>
      </c>
      <c r="E13" s="58">
        <v>9.0969201163734512E-2</v>
      </c>
      <c r="F13" s="26">
        <f>E13*$C$10</f>
        <v>4474308.069419723</v>
      </c>
      <c r="G13" s="256">
        <f>D13+F13</f>
        <v>54850612.48696053</v>
      </c>
      <c r="H13"/>
      <c r="I13"/>
      <c r="J13"/>
      <c r="K13"/>
      <c r="L13"/>
    </row>
    <row r="14" spans="1:12" s="6" customFormat="1" x14ac:dyDescent="0.25">
      <c r="A14" s="219" t="s">
        <v>1</v>
      </c>
      <c r="B14" s="246"/>
      <c r="C14" s="255">
        <v>6.5000000914067116E-2</v>
      </c>
      <c r="D14" s="26">
        <f t="shared" ref="D14:D20" si="0">$C$9*C14</f>
        <v>28773147.658049028</v>
      </c>
      <c r="E14" s="58">
        <v>4.84098972156101E-2</v>
      </c>
      <c r="F14" s="26">
        <f t="shared" ref="F14:F20" si="1">E14*$C$10</f>
        <v>2381034.3608682035</v>
      </c>
      <c r="G14" s="256">
        <f t="shared" ref="G14:G20" si="2">D14+F14</f>
        <v>31154182.018917233</v>
      </c>
      <c r="H14"/>
      <c r="I14"/>
      <c r="J14"/>
      <c r="K14"/>
      <c r="L14"/>
    </row>
    <row r="15" spans="1:12" s="6" customFormat="1" x14ac:dyDescent="0.25">
      <c r="A15" s="218" t="s">
        <v>2</v>
      </c>
      <c r="B15" s="152"/>
      <c r="C15" s="255">
        <v>4.5061446545893231E-2</v>
      </c>
      <c r="D15" s="26">
        <f t="shared" si="0"/>
        <v>19947071.337189343</v>
      </c>
      <c r="E15" s="58">
        <v>2.9918739226791429E-2</v>
      </c>
      <c r="F15" s="26">
        <f t="shared" si="1"/>
        <v>1471549.212665437</v>
      </c>
      <c r="G15" s="256">
        <f t="shared" si="2"/>
        <v>21418620.549854781</v>
      </c>
      <c r="H15"/>
      <c r="I15"/>
      <c r="J15"/>
      <c r="K15"/>
      <c r="L15"/>
    </row>
    <row r="16" spans="1:12" s="6" customFormat="1" x14ac:dyDescent="0.25">
      <c r="A16" s="218" t="s">
        <v>3</v>
      </c>
      <c r="B16" s="152"/>
      <c r="C16" s="255">
        <v>0.21291782469935089</v>
      </c>
      <c r="D16" s="26">
        <f t="shared" si="0"/>
        <v>94251014.199281052</v>
      </c>
      <c r="E16" s="58">
        <v>0.19393599460085548</v>
      </c>
      <c r="F16" s="26">
        <f t="shared" si="1"/>
        <v>9538716.1203243993</v>
      </c>
      <c r="G16" s="256">
        <f t="shared" si="2"/>
        <v>103789730.31960545</v>
      </c>
      <c r="H16"/>
      <c r="I16"/>
      <c r="J16"/>
      <c r="K16"/>
      <c r="L16"/>
    </row>
    <row r="17" spans="1:12" s="6" customFormat="1" x14ac:dyDescent="0.25">
      <c r="A17" s="218" t="s">
        <v>4</v>
      </c>
      <c r="B17" s="152"/>
      <c r="C17" s="255">
        <v>0.16226116717807446</v>
      </c>
      <c r="D17" s="26">
        <f t="shared" si="0"/>
        <v>71827145.488112047</v>
      </c>
      <c r="E17" s="58">
        <v>0.15723640409678333</v>
      </c>
      <c r="F17" s="26">
        <f t="shared" si="1"/>
        <v>7733651.6387619181</v>
      </c>
      <c r="G17" s="256">
        <f t="shared" si="2"/>
        <v>79560797.12687397</v>
      </c>
      <c r="H17"/>
      <c r="I17"/>
      <c r="J17"/>
      <c r="K17"/>
      <c r="L17"/>
    </row>
    <row r="18" spans="1:12" s="6" customFormat="1" x14ac:dyDescent="0.25">
      <c r="A18" s="218" t="s">
        <v>5</v>
      </c>
      <c r="B18" s="152"/>
      <c r="C18" s="255">
        <v>5.0356913658611044E-2</v>
      </c>
      <c r="D18" s="26">
        <f t="shared" si="0"/>
        <v>22291182.952726219</v>
      </c>
      <c r="E18" s="58">
        <v>5.8314408966957595E-2</v>
      </c>
      <c r="F18" s="26">
        <f t="shared" si="1"/>
        <v>2868186.4550473415</v>
      </c>
      <c r="G18" s="256">
        <f t="shared" si="2"/>
        <v>25159369.407773562</v>
      </c>
      <c r="H18"/>
      <c r="I18"/>
      <c r="J18"/>
      <c r="K18"/>
      <c r="L18"/>
    </row>
    <row r="19" spans="1:12" s="6" customFormat="1" x14ac:dyDescent="0.25">
      <c r="A19" s="219" t="s">
        <v>6</v>
      </c>
      <c r="B19" s="246"/>
      <c r="C19" s="255">
        <v>0.21791354794940332</v>
      </c>
      <c r="D19" s="26">
        <f t="shared" si="0"/>
        <v>96462440.056375146</v>
      </c>
      <c r="E19" s="58">
        <v>0.24507738469816776</v>
      </c>
      <c r="F19" s="26">
        <f t="shared" si="1"/>
        <v>12054098.595563367</v>
      </c>
      <c r="G19" s="256">
        <f t="shared" si="2"/>
        <v>108516538.65193851</v>
      </c>
      <c r="H19"/>
      <c r="I19"/>
      <c r="J19"/>
      <c r="K19"/>
      <c r="L19"/>
    </row>
    <row r="20" spans="1:12" s="6" customFormat="1" ht="15.75" thickBot="1" x14ac:dyDescent="0.3">
      <c r="A20" s="220" t="s">
        <v>7</v>
      </c>
      <c r="B20" s="246"/>
      <c r="C20" s="257">
        <v>0.13268647057257235</v>
      </c>
      <c r="D20" s="124">
        <f t="shared" si="0"/>
        <v>58735497.789566375</v>
      </c>
      <c r="E20" s="123">
        <v>0.17613797003109979</v>
      </c>
      <c r="F20" s="124">
        <f t="shared" si="1"/>
        <v>8663322.6472207252</v>
      </c>
      <c r="G20" s="258">
        <f t="shared" si="2"/>
        <v>67398820.436787099</v>
      </c>
      <c r="H20"/>
      <c r="I20"/>
      <c r="J20"/>
      <c r="K20"/>
      <c r="L20"/>
    </row>
    <row r="21" spans="1:12" s="6" customFormat="1" ht="5.0999999999999996" customHeight="1" thickBot="1" x14ac:dyDescent="0.3">
      <c r="A21" s="262"/>
      <c r="B21" s="252"/>
      <c r="C21" s="263"/>
      <c r="D21" s="264"/>
      <c r="E21" s="264"/>
      <c r="F21" s="264"/>
      <c r="G21" s="264"/>
      <c r="H21"/>
      <c r="I21"/>
      <c r="J21"/>
      <c r="K21"/>
      <c r="L21"/>
    </row>
    <row r="22" spans="1:12" s="6" customFormat="1" ht="15.75" thickBot="1" x14ac:dyDescent="0.3">
      <c r="A22" s="261" t="s">
        <v>8</v>
      </c>
      <c r="B22" s="155"/>
      <c r="C22" s="259">
        <f>SUM(C13:C21)</f>
        <v>1</v>
      </c>
      <c r="D22" s="127">
        <f>SUM(D13:D21)</f>
        <v>442663803.89884007</v>
      </c>
      <c r="E22" s="126">
        <f t="shared" ref="E22:G22" si="3">SUM(E13:E21)</f>
        <v>1</v>
      </c>
      <c r="F22" s="127">
        <f t="shared" si="3"/>
        <v>49184867.099871114</v>
      </c>
      <c r="G22" s="128">
        <f t="shared" si="3"/>
        <v>491848670.99871111</v>
      </c>
      <c r="H22"/>
      <c r="I22"/>
      <c r="J22"/>
      <c r="K22"/>
      <c r="L22"/>
    </row>
    <row r="23" spans="1:12" ht="5.0999999999999996" customHeight="1" x14ac:dyDescent="0.25">
      <c r="H23"/>
      <c r="I23"/>
      <c r="J23"/>
      <c r="K23"/>
      <c r="L23"/>
    </row>
    <row r="24" spans="1:12" ht="15" customHeight="1" thickBot="1" x14ac:dyDescent="0.3">
      <c r="A24" s="9" t="s">
        <v>50</v>
      </c>
      <c r="B24" s="9"/>
      <c r="H24"/>
      <c r="I24"/>
      <c r="J24"/>
      <c r="K24"/>
      <c r="L24"/>
    </row>
    <row r="25" spans="1:12" ht="50.1" customHeight="1" x14ac:dyDescent="0.25">
      <c r="A25" s="161" t="s">
        <v>38</v>
      </c>
      <c r="B25" s="154"/>
      <c r="C25" s="156" t="s">
        <v>53</v>
      </c>
      <c r="D25" s="270" t="s">
        <v>131</v>
      </c>
      <c r="E25" s="491" t="s">
        <v>76</v>
      </c>
      <c r="F25" s="492"/>
      <c r="G25" s="59"/>
    </row>
    <row r="26" spans="1:12" x14ac:dyDescent="0.25">
      <c r="A26" s="218" t="s">
        <v>0</v>
      </c>
      <c r="B26" s="152"/>
      <c r="C26" s="157">
        <v>53535599</v>
      </c>
      <c r="D26" s="253">
        <f>G13</f>
        <v>54850612.48696053</v>
      </c>
      <c r="E26" s="223">
        <f>D26-C26</f>
        <v>1315013.4869605303</v>
      </c>
      <c r="F26" s="221">
        <f>E26/C26</f>
        <v>2.4563346848151084E-2</v>
      </c>
      <c r="H26" s="57"/>
    </row>
    <row r="27" spans="1:12" x14ac:dyDescent="0.25">
      <c r="A27" s="219" t="s">
        <v>1</v>
      </c>
      <c r="B27" s="246"/>
      <c r="C27" s="157">
        <v>30577624</v>
      </c>
      <c r="D27" s="253">
        <f t="shared" ref="D27:D33" si="4">G14</f>
        <v>31154182.018917233</v>
      </c>
      <c r="E27" s="223">
        <f t="shared" ref="E27:E33" si="5">D27-C27</f>
        <v>576558.01891723275</v>
      </c>
      <c r="F27" s="221">
        <f t="shared" ref="F27:F33" si="6">E27/C27</f>
        <v>1.8855553293389726E-2</v>
      </c>
    </row>
    <row r="28" spans="1:12" x14ac:dyDescent="0.25">
      <c r="A28" s="218" t="s">
        <v>2</v>
      </c>
      <c r="B28" s="152"/>
      <c r="C28" s="157">
        <v>21198030</v>
      </c>
      <c r="D28" s="253">
        <f t="shared" si="4"/>
        <v>21418620.549854781</v>
      </c>
      <c r="E28" s="223">
        <f t="shared" si="5"/>
        <v>220590.54985478148</v>
      </c>
      <c r="F28" s="221">
        <f t="shared" si="6"/>
        <v>1.0406181605308677E-2</v>
      </c>
    </row>
    <row r="29" spans="1:12" x14ac:dyDescent="0.25">
      <c r="A29" s="218" t="s">
        <v>3</v>
      </c>
      <c r="B29" s="152"/>
      <c r="C29" s="157">
        <v>100161863</v>
      </c>
      <c r="D29" s="253">
        <f t="shared" si="4"/>
        <v>103789730.31960545</v>
      </c>
      <c r="E29" s="223">
        <f t="shared" si="5"/>
        <v>3627867.3196054548</v>
      </c>
      <c r="F29" s="221">
        <f t="shared" si="6"/>
        <v>3.6220046342443281E-2</v>
      </c>
    </row>
    <row r="30" spans="1:12" x14ac:dyDescent="0.25">
      <c r="A30" s="218" t="s">
        <v>4</v>
      </c>
      <c r="B30" s="152"/>
      <c r="C30" s="157">
        <v>76331706</v>
      </c>
      <c r="D30" s="253">
        <f t="shared" si="4"/>
        <v>79560797.12687397</v>
      </c>
      <c r="E30" s="223">
        <f t="shared" si="5"/>
        <v>3229091.12687397</v>
      </c>
      <c r="F30" s="221">
        <f t="shared" si="6"/>
        <v>4.2303405702395408E-2</v>
      </c>
    </row>
    <row r="31" spans="1:12" x14ac:dyDescent="0.25">
      <c r="A31" s="218" t="s">
        <v>5</v>
      </c>
      <c r="B31" s="152"/>
      <c r="C31" s="157">
        <v>23689150</v>
      </c>
      <c r="D31" s="253">
        <f t="shared" si="4"/>
        <v>25159369.407773562</v>
      </c>
      <c r="E31" s="223">
        <f t="shared" si="5"/>
        <v>1470219.4077735618</v>
      </c>
      <c r="F31" s="221">
        <f t="shared" si="6"/>
        <v>6.2062986969712367E-2</v>
      </c>
    </row>
    <row r="32" spans="1:12" x14ac:dyDescent="0.25">
      <c r="A32" s="219" t="s">
        <v>6</v>
      </c>
      <c r="B32" s="246"/>
      <c r="C32" s="157">
        <v>102511976</v>
      </c>
      <c r="D32" s="253">
        <f t="shared" si="4"/>
        <v>108516538.65193851</v>
      </c>
      <c r="E32" s="223">
        <f t="shared" si="5"/>
        <v>6004562.6519385129</v>
      </c>
      <c r="F32" s="221">
        <f t="shared" si="6"/>
        <v>5.8574255284460745E-2</v>
      </c>
    </row>
    <row r="33" spans="1:6" ht="15.75" thickBot="1" x14ac:dyDescent="0.3">
      <c r="A33" s="220" t="s">
        <v>7</v>
      </c>
      <c r="B33" s="246"/>
      <c r="C33" s="265">
        <v>62419030</v>
      </c>
      <c r="D33" s="266">
        <f t="shared" si="4"/>
        <v>67398820.436787099</v>
      </c>
      <c r="E33" s="224">
        <f t="shared" si="5"/>
        <v>4979790.4367870986</v>
      </c>
      <c r="F33" s="222">
        <f t="shared" si="6"/>
        <v>7.9780003578830028E-2</v>
      </c>
    </row>
    <row r="34" spans="1:6" ht="5.0999999999999996" customHeight="1" thickBot="1" x14ac:dyDescent="0.3">
      <c r="A34" s="262"/>
      <c r="B34" s="252"/>
      <c r="C34" s="262"/>
      <c r="D34" s="267"/>
      <c r="E34" s="268"/>
      <c r="F34" s="269"/>
    </row>
    <row r="35" spans="1:6" ht="15.75" thickBot="1" x14ac:dyDescent="0.3">
      <c r="A35" s="125" t="s">
        <v>8</v>
      </c>
      <c r="B35" s="155"/>
      <c r="C35" s="127">
        <f>SUM(C26:C34)</f>
        <v>470424978</v>
      </c>
      <c r="D35" s="254">
        <f>G22</f>
        <v>491848670.99871111</v>
      </c>
      <c r="E35" s="295">
        <f>D35-C35</f>
        <v>21423692.998711109</v>
      </c>
      <c r="F35" s="296">
        <f>E35/C35</f>
        <v>4.5541146836618675E-2</v>
      </c>
    </row>
  </sheetData>
  <mergeCells count="1">
    <mergeCell ref="E25:F25"/>
  </mergeCells>
  <pageMargins left="0.7" right="0.7" top="0.78740157499999996" bottom="0.78740157499999996" header="0.3" footer="0.3"/>
  <pageSetup paperSize="9" scale="9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37"/>
  <sheetViews>
    <sheetView zoomScaleNormal="100" zoomScaleSheetLayoutView="100" workbookViewId="0">
      <selection activeCell="T11" sqref="T11"/>
    </sheetView>
  </sheetViews>
  <sheetFormatPr defaultColWidth="9.140625" defaultRowHeight="15" x14ac:dyDescent="0.25"/>
  <cols>
    <col min="1" max="1" width="28.7109375" style="5" customWidth="1"/>
    <col min="2" max="2" width="0.85546875" style="5" customWidth="1"/>
    <col min="3" max="4" width="15.7109375" style="5" customWidth="1"/>
    <col min="5" max="5" width="0.85546875" style="5" customWidth="1"/>
    <col min="6" max="12" width="15.7109375" style="5" customWidth="1"/>
    <col min="13" max="13" width="16" style="5" bestFit="1" customWidth="1"/>
    <col min="14" max="14" width="0.85546875" style="5" customWidth="1"/>
    <col min="15" max="15" width="16.28515625" style="5" customWidth="1"/>
    <col min="16" max="16" width="13.42578125" style="5" bestFit="1" customWidth="1"/>
    <col min="17" max="17" width="15.42578125" style="5" bestFit="1" customWidth="1"/>
    <col min="18" max="18" width="5" style="5" customWidth="1"/>
    <col min="19" max="19" width="13.42578125" style="5" bestFit="1" customWidth="1"/>
    <col min="20" max="20" width="13.140625" style="5" customWidth="1"/>
    <col min="21" max="21" width="3.7109375" style="5" customWidth="1"/>
    <col min="22" max="22" width="12.28515625" style="27" bestFit="1" customWidth="1"/>
    <col min="23" max="23" width="12.28515625" style="5" bestFit="1" customWidth="1"/>
    <col min="24" max="16384" width="9.140625" style="5"/>
  </cols>
  <sheetData>
    <row r="1" spans="1:26" s="36" customFormat="1" ht="15.75" x14ac:dyDescent="0.25">
      <c r="A1" s="36" t="s">
        <v>44</v>
      </c>
      <c r="V1" s="37"/>
    </row>
    <row r="2" spans="1:26" ht="5.0999999999999996" customHeight="1" thickBot="1" x14ac:dyDescent="0.3"/>
    <row r="3" spans="1:26" s="8" customFormat="1" x14ac:dyDescent="0.25">
      <c r="A3" s="285" t="s">
        <v>62</v>
      </c>
      <c r="B3" s="174"/>
      <c r="C3" s="289">
        <v>111055252</v>
      </c>
      <c r="D3" s="40"/>
      <c r="E3" s="40"/>
      <c r="G3" s="40"/>
      <c r="J3" s="41"/>
      <c r="V3" s="29"/>
    </row>
    <row r="4" spans="1:26" s="8" customFormat="1" ht="15.75" thickBot="1" x14ac:dyDescent="0.3">
      <c r="A4" s="286" t="s">
        <v>65</v>
      </c>
      <c r="B4" s="175"/>
      <c r="C4" s="290">
        <v>100174283</v>
      </c>
      <c r="D4" s="40"/>
      <c r="E4" s="40"/>
      <c r="F4" s="28"/>
      <c r="G4" s="28"/>
      <c r="V4" s="29"/>
    </row>
    <row r="5" spans="1:26" s="8" customFormat="1" ht="5.0999999999999996" customHeight="1" thickBot="1" x14ac:dyDescent="0.3">
      <c r="A5" s="25"/>
      <c r="B5" s="25"/>
      <c r="C5" s="39"/>
      <c r="D5" s="40"/>
      <c r="E5" s="40"/>
      <c r="F5" s="28"/>
      <c r="G5" s="28"/>
      <c r="V5" s="29"/>
    </row>
    <row r="6" spans="1:26" s="8" customFormat="1" x14ac:dyDescent="0.25">
      <c r="A6" s="285" t="s">
        <v>63</v>
      </c>
      <c r="B6" s="174"/>
      <c r="C6" s="291">
        <f>C3*0.05</f>
        <v>5552762.6000000006</v>
      </c>
      <c r="F6" s="42"/>
      <c r="G6" s="28"/>
      <c r="V6" s="29"/>
    </row>
    <row r="7" spans="1:26" s="8" customFormat="1" x14ac:dyDescent="0.25">
      <c r="A7" s="287" t="s">
        <v>64</v>
      </c>
      <c r="B7" s="175"/>
      <c r="C7" s="292">
        <f>C3-C6</f>
        <v>105502489.40000001</v>
      </c>
      <c r="F7" s="42"/>
      <c r="G7" s="28"/>
      <c r="V7" s="29"/>
    </row>
    <row r="8" spans="1:26" s="8" customFormat="1" x14ac:dyDescent="0.25">
      <c r="A8" s="288" t="s">
        <v>45</v>
      </c>
      <c r="B8" s="175"/>
      <c r="C8" s="293">
        <f>C7*0.7</f>
        <v>73851742.579999998</v>
      </c>
      <c r="D8" s="4" t="s">
        <v>128</v>
      </c>
      <c r="F8" s="42"/>
      <c r="G8" s="28"/>
      <c r="V8" s="29"/>
    </row>
    <row r="9" spans="1:26" s="8" customFormat="1" ht="15.75" thickBot="1" x14ac:dyDescent="0.3">
      <c r="A9" s="286" t="s">
        <v>46</v>
      </c>
      <c r="B9" s="175"/>
      <c r="C9" s="294">
        <f>C7*0.3</f>
        <v>31650746.82</v>
      </c>
      <c r="D9" s="8" t="s">
        <v>130</v>
      </c>
      <c r="F9" s="42"/>
      <c r="G9" s="28"/>
      <c r="V9" s="29"/>
    </row>
    <row r="10" spans="1:26" s="7" customFormat="1" ht="5.0999999999999996" customHeight="1" thickBot="1" x14ac:dyDescent="0.3">
      <c r="D10" s="43"/>
      <c r="E10" s="43"/>
      <c r="F10" s="43"/>
      <c r="G10" s="43"/>
      <c r="H10" s="43"/>
      <c r="I10" s="43"/>
      <c r="V10" s="44"/>
    </row>
    <row r="11" spans="1:26" s="7" customFormat="1" ht="60" customHeight="1" x14ac:dyDescent="0.25">
      <c r="A11" s="499" t="s">
        <v>38</v>
      </c>
      <c r="B11" s="82"/>
      <c r="C11" s="503" t="s">
        <v>39</v>
      </c>
      <c r="D11" s="505" t="s">
        <v>37</v>
      </c>
      <c r="E11" s="72"/>
      <c r="F11" s="65" t="s">
        <v>47</v>
      </c>
      <c r="G11" s="66" t="s">
        <v>21</v>
      </c>
      <c r="H11" s="66" t="s">
        <v>22</v>
      </c>
      <c r="I11" s="66" t="s">
        <v>23</v>
      </c>
      <c r="J11" s="66" t="s">
        <v>49</v>
      </c>
      <c r="K11" s="66" t="s">
        <v>48</v>
      </c>
      <c r="L11" s="501" t="s">
        <v>61</v>
      </c>
      <c r="M11" s="497" t="s">
        <v>59</v>
      </c>
      <c r="N11" s="76"/>
      <c r="O11" s="495" t="s">
        <v>60</v>
      </c>
    </row>
    <row r="12" spans="1:26" s="7" customFormat="1" x14ac:dyDescent="0.25">
      <c r="A12" s="500"/>
      <c r="B12" s="82"/>
      <c r="C12" s="504"/>
      <c r="D12" s="506"/>
      <c r="E12" s="72"/>
      <c r="F12" s="69">
        <v>0.25</v>
      </c>
      <c r="G12" s="32">
        <v>0.25</v>
      </c>
      <c r="H12" s="32">
        <v>0.15</v>
      </c>
      <c r="I12" s="32">
        <v>0.15</v>
      </c>
      <c r="J12" s="32">
        <v>0.15</v>
      </c>
      <c r="K12" s="32">
        <v>0.05</v>
      </c>
      <c r="L12" s="502"/>
      <c r="M12" s="498"/>
      <c r="N12" s="76"/>
      <c r="O12" s="496"/>
    </row>
    <row r="13" spans="1:26" s="8" customFormat="1" x14ac:dyDescent="0.25">
      <c r="A13" s="78" t="s">
        <v>0</v>
      </c>
      <c r="B13" s="80"/>
      <c r="C13" s="62">
        <v>0.12184960508143444</v>
      </c>
      <c r="D13" s="63">
        <f>C13*$C$8</f>
        <v>8998805.6679487564</v>
      </c>
      <c r="E13" s="73"/>
      <c r="F13" s="70">
        <v>3.3725340238666884E-2</v>
      </c>
      <c r="G13" s="45">
        <v>0.20325824135916087</v>
      </c>
      <c r="H13" s="45">
        <v>0.15879631906103692</v>
      </c>
      <c r="I13" s="45">
        <v>2.6445110205020717E-2</v>
      </c>
      <c r="J13" s="45">
        <v>7.9727009308315236E-2</v>
      </c>
      <c r="K13" s="45">
        <v>0.11306362337812238</v>
      </c>
      <c r="L13" s="45">
        <v>0.104644342354519</v>
      </c>
      <c r="M13" s="71">
        <f>L13*$C$9</f>
        <v>3312071.5860082838</v>
      </c>
      <c r="N13" s="75"/>
      <c r="O13" s="46">
        <f>D13+M13</f>
        <v>12310877.253957041</v>
      </c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s="8" customFormat="1" x14ac:dyDescent="0.25">
      <c r="A14" s="79" t="s">
        <v>1</v>
      </c>
      <c r="B14" s="81"/>
      <c r="C14" s="64">
        <v>0.11117810896501865</v>
      </c>
      <c r="D14" s="63">
        <f t="shared" ref="D14:D20" si="0">C14*$C$8</f>
        <v>8210697.0838157469</v>
      </c>
      <c r="E14" s="73"/>
      <c r="F14" s="70">
        <v>7.439127144059697E-2</v>
      </c>
      <c r="G14" s="45">
        <v>0.19970595443474248</v>
      </c>
      <c r="H14" s="45">
        <v>6.6790863011050805E-2</v>
      </c>
      <c r="I14" s="45">
        <v>2.2383581090350445E-2</v>
      </c>
      <c r="J14" s="45">
        <v>0.12311831461122023</v>
      </c>
      <c r="K14" s="45">
        <v>0.22572450893121734</v>
      </c>
      <c r="L14" s="45">
        <v>0.11165444572228897</v>
      </c>
      <c r="M14" s="71">
        <f t="shared" ref="M14:M20" si="1">L14*$C$9</f>
        <v>3533946.5928836004</v>
      </c>
      <c r="N14" s="75"/>
      <c r="O14" s="46">
        <f t="shared" ref="O14:O20" si="2">D14+M14</f>
        <v>11744643.676699348</v>
      </c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s="8" customFormat="1" x14ac:dyDescent="0.25">
      <c r="A15" s="79" t="s">
        <v>2</v>
      </c>
      <c r="B15" s="81"/>
      <c r="C15" s="64">
        <v>0.14781653856343779</v>
      </c>
      <c r="D15" s="63">
        <f t="shared" si="0"/>
        <v>10916508.95505365</v>
      </c>
      <c r="E15" s="73"/>
      <c r="F15" s="70">
        <v>0.30619041177314127</v>
      </c>
      <c r="G15" s="45">
        <v>3.003664529705518E-2</v>
      </c>
      <c r="H15" s="45">
        <v>1.274702846482904E-2</v>
      </c>
      <c r="I15" s="45">
        <v>0.32742607540012081</v>
      </c>
      <c r="J15" s="45">
        <v>0.14049295527130831</v>
      </c>
      <c r="K15" s="45">
        <v>0.1238866479212386</v>
      </c>
      <c r="L15" s="45">
        <v>0.16235100553404977</v>
      </c>
      <c r="M15" s="71">
        <f t="shared" si="1"/>
        <v>5138530.5721306279</v>
      </c>
      <c r="N15" s="75"/>
      <c r="O15" s="46">
        <f t="shared" si="2"/>
        <v>16055039.527184278</v>
      </c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s="8" customFormat="1" x14ac:dyDescent="0.25">
      <c r="A16" s="79" t="s">
        <v>3</v>
      </c>
      <c r="B16" s="81"/>
      <c r="C16" s="64">
        <v>0.12243681325543275</v>
      </c>
      <c r="D16" s="63">
        <f t="shared" si="0"/>
        <v>9042172.0148557518</v>
      </c>
      <c r="E16" s="73"/>
      <c r="F16" s="70">
        <v>4.4071339030555864E-2</v>
      </c>
      <c r="G16" s="45">
        <v>0.19645473307069169</v>
      </c>
      <c r="H16" s="45">
        <v>0.25202669600100075</v>
      </c>
      <c r="I16" s="45">
        <v>5.424944622162009E-2</v>
      </c>
      <c r="J16" s="45">
        <v>0.13733094140355834</v>
      </c>
      <c r="K16" s="45">
        <v>0.11025526063094548</v>
      </c>
      <c r="L16" s="45">
        <v>0.13218534360078607</v>
      </c>
      <c r="M16" s="71">
        <f t="shared" si="1"/>
        <v>4183764.8436231869</v>
      </c>
      <c r="N16" s="75"/>
      <c r="O16" s="46">
        <f t="shared" si="2"/>
        <v>13225936.858478939</v>
      </c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s="8" customFormat="1" x14ac:dyDescent="0.25">
      <c r="A17" s="79" t="s">
        <v>4</v>
      </c>
      <c r="B17" s="81"/>
      <c r="C17" s="64">
        <v>0.2500642117739032</v>
      </c>
      <c r="D17" s="63">
        <f t="shared" si="0"/>
        <v>18467677.796396904</v>
      </c>
      <c r="E17" s="73"/>
      <c r="F17" s="70">
        <v>0.38355988783545575</v>
      </c>
      <c r="G17" s="45">
        <v>0.21591923141797842</v>
      </c>
      <c r="H17" s="45">
        <v>6.3717093214930715E-2</v>
      </c>
      <c r="I17" s="45">
        <v>0.43375769851610396</v>
      </c>
      <c r="J17" s="45">
        <v>0.21751427100610524</v>
      </c>
      <c r="K17" s="45">
        <v>0.30927662743466483</v>
      </c>
      <c r="L17" s="45">
        <v>0.2725819705956628</v>
      </c>
      <c r="M17" s="71">
        <f t="shared" si="1"/>
        <v>8627422.9390200078</v>
      </c>
      <c r="N17" s="75"/>
      <c r="O17" s="46">
        <f t="shared" si="2"/>
        <v>27095100.735416912</v>
      </c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s="8" customFormat="1" x14ac:dyDescent="0.25">
      <c r="A18" s="79" t="s">
        <v>5</v>
      </c>
      <c r="B18" s="81"/>
      <c r="C18" s="64">
        <v>6.9307041079111287E-2</v>
      </c>
      <c r="D18" s="63">
        <f t="shared" si="0"/>
        <v>5118445.7567560123</v>
      </c>
      <c r="E18" s="73"/>
      <c r="F18" s="70">
        <v>4.7981027840077371E-2</v>
      </c>
      <c r="G18" s="45">
        <v>4.9661199242544488E-2</v>
      </c>
      <c r="H18" s="45">
        <v>7.1012251726493142E-2</v>
      </c>
      <c r="I18" s="45">
        <v>1.744208445756067E-2</v>
      </c>
      <c r="J18" s="45">
        <v>8.4644314419578356E-2</v>
      </c>
      <c r="K18" s="45">
        <v>3.0401277284734567E-2</v>
      </c>
      <c r="L18" s="45">
        <v>5.1895418225437029E-2</v>
      </c>
      <c r="M18" s="71">
        <f t="shared" si="1"/>
        <v>1642528.7433713211</v>
      </c>
      <c r="N18" s="75"/>
      <c r="O18" s="46">
        <f t="shared" si="2"/>
        <v>6760974.5001273332</v>
      </c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s="8" customFormat="1" x14ac:dyDescent="0.25">
      <c r="A19" s="78" t="s">
        <v>6</v>
      </c>
      <c r="B19" s="80"/>
      <c r="C19" s="62">
        <v>8.729802267036306E-2</v>
      </c>
      <c r="D19" s="63">
        <f t="shared" si="0"/>
        <v>6447111.0979946563</v>
      </c>
      <c r="E19" s="73"/>
      <c r="F19" s="70">
        <v>2.6808984521182355E-2</v>
      </c>
      <c r="G19" s="45">
        <v>5.3559050695166255E-2</v>
      </c>
      <c r="H19" s="45">
        <v>0.19384171284164037</v>
      </c>
      <c r="I19" s="45">
        <v>3.9174997726818359E-2</v>
      </c>
      <c r="J19" s="45">
        <v>8.4364292385026629E-2</v>
      </c>
      <c r="K19" s="45">
        <v>7.9695680417052717E-2</v>
      </c>
      <c r="L19" s="45">
        <v>7.1683943267962597E-2</v>
      </c>
      <c r="M19" s="71">
        <f t="shared" si="1"/>
        <v>2268850.3394335276</v>
      </c>
      <c r="N19" s="75"/>
      <c r="O19" s="46">
        <f t="shared" si="2"/>
        <v>8715961.4374281839</v>
      </c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s="8" customFormat="1" ht="15.75" thickBot="1" x14ac:dyDescent="0.3">
      <c r="A20" s="112" t="s">
        <v>7</v>
      </c>
      <c r="B20" s="80"/>
      <c r="C20" s="108">
        <v>9.0049658611298794E-2</v>
      </c>
      <c r="D20" s="109">
        <f t="shared" si="0"/>
        <v>6650324.2071785191</v>
      </c>
      <c r="E20" s="73"/>
      <c r="F20" s="96">
        <v>8.3271737320323447E-2</v>
      </c>
      <c r="G20" s="97">
        <v>5.1404944482660524E-2</v>
      </c>
      <c r="H20" s="97">
        <v>0.18106803567901825</v>
      </c>
      <c r="I20" s="97">
        <v>7.9121006382405157E-2</v>
      </c>
      <c r="J20" s="97">
        <v>0.13280790159488734</v>
      </c>
      <c r="K20" s="97">
        <v>7.6963740020240786E-3</v>
      </c>
      <c r="L20" s="97">
        <v>9.3003530699293832E-2</v>
      </c>
      <c r="M20" s="98">
        <f t="shared" si="1"/>
        <v>2943631.2035294469</v>
      </c>
      <c r="N20" s="75"/>
      <c r="O20" s="106">
        <f t="shared" si="2"/>
        <v>9593955.4107079655</v>
      </c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s="8" customFormat="1" ht="5.0999999999999996" customHeight="1" thickBot="1" x14ac:dyDescent="0.3">
      <c r="A21" s="111"/>
      <c r="B21" s="81"/>
      <c r="C21" s="111"/>
      <c r="D21" s="111"/>
      <c r="E21" s="81"/>
      <c r="F21" s="102"/>
      <c r="G21" s="103"/>
      <c r="H21" s="104"/>
      <c r="I21" s="104"/>
      <c r="J21" s="104"/>
      <c r="K21" s="104"/>
      <c r="L21" s="104"/>
      <c r="M21" s="103"/>
      <c r="N21" s="105"/>
      <c r="O21" s="103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s="9" customFormat="1" ht="15.75" thickBot="1" x14ac:dyDescent="0.3">
      <c r="A22" s="113" t="s">
        <v>8</v>
      </c>
      <c r="B22" s="83"/>
      <c r="C22" s="99">
        <f>SUM(C13:C20)</f>
        <v>0.99999999999999989</v>
      </c>
      <c r="D22" s="110">
        <f t="shared" ref="D22:L22" si="3">SUM(D13:D20)</f>
        <v>73851742.579999998</v>
      </c>
      <c r="E22" s="74"/>
      <c r="F22" s="99">
        <f t="shared" si="3"/>
        <v>0.99999999999999989</v>
      </c>
      <c r="G22" s="100">
        <f t="shared" si="3"/>
        <v>1</v>
      </c>
      <c r="H22" s="100">
        <f t="shared" si="3"/>
        <v>1</v>
      </c>
      <c r="I22" s="100">
        <f t="shared" si="3"/>
        <v>1</v>
      </c>
      <c r="J22" s="100">
        <f t="shared" si="3"/>
        <v>0.99999999999999967</v>
      </c>
      <c r="K22" s="100">
        <f t="shared" si="3"/>
        <v>0.99999999999999989</v>
      </c>
      <c r="L22" s="100">
        <f t="shared" si="3"/>
        <v>1</v>
      </c>
      <c r="M22" s="101">
        <f>SUM(M13:M21)</f>
        <v>31650746.820000008</v>
      </c>
      <c r="N22" s="77"/>
      <c r="O22" s="107">
        <f>SUM(O13:O21)</f>
        <v>105502489.39999999</v>
      </c>
    </row>
    <row r="23" spans="1:26" s="7" customFormat="1" ht="5.0999999999999996" customHeight="1" x14ac:dyDescent="0.25">
      <c r="B23" s="28"/>
    </row>
    <row r="24" spans="1:26" s="7" customFormat="1" ht="15.75" thickBot="1" x14ac:dyDescent="0.3">
      <c r="A24" s="9" t="s">
        <v>50</v>
      </c>
      <c r="B24" s="9"/>
      <c r="C24" s="9"/>
      <c r="D24" s="60"/>
      <c r="E24" s="60"/>
      <c r="F24" s="61"/>
      <c r="G24" s="61"/>
      <c r="H24" s="61"/>
      <c r="I24" s="61"/>
      <c r="J24" s="61"/>
      <c r="K24" s="61"/>
      <c r="L24" s="61"/>
    </row>
    <row r="25" spans="1:26" s="7" customFormat="1" ht="50.1" customHeight="1" x14ac:dyDescent="0.25">
      <c r="A25" s="84" t="s">
        <v>38</v>
      </c>
      <c r="B25" s="28"/>
      <c r="C25" s="85" t="s">
        <v>24</v>
      </c>
      <c r="D25" s="86" t="s">
        <v>51</v>
      </c>
      <c r="F25" s="493" t="s">
        <v>76</v>
      </c>
      <c r="G25" s="494"/>
      <c r="R25" s="44"/>
    </row>
    <row r="26" spans="1:26" s="7" customFormat="1" x14ac:dyDescent="0.25">
      <c r="A26" s="78" t="s">
        <v>0</v>
      </c>
      <c r="B26" s="80"/>
      <c r="C26" s="87">
        <v>11595887</v>
      </c>
      <c r="D26" s="63">
        <f>O13</f>
        <v>12310877.253957041</v>
      </c>
      <c r="F26" s="90">
        <f>D26-C26</f>
        <v>714990.25395704061</v>
      </c>
      <c r="G26" s="91">
        <f>F26/C26</f>
        <v>6.1658953209619984E-2</v>
      </c>
      <c r="R26" s="44"/>
    </row>
    <row r="27" spans="1:26" s="7" customFormat="1" x14ac:dyDescent="0.25">
      <c r="A27" s="79" t="s">
        <v>1</v>
      </c>
      <c r="B27" s="81"/>
      <c r="C27" s="88">
        <v>10580328</v>
      </c>
      <c r="D27" s="63">
        <f t="shared" ref="D27:D33" si="4">O14</f>
        <v>11744643.676699348</v>
      </c>
      <c r="F27" s="90">
        <f t="shared" ref="F27:F35" si="5">D27-C27</f>
        <v>1164315.6766993478</v>
      </c>
      <c r="G27" s="91">
        <f t="shared" ref="G27:G35" si="6">F27/C27</f>
        <v>0.11004532909559589</v>
      </c>
      <c r="R27" s="44"/>
    </row>
    <row r="28" spans="1:26" s="7" customFormat="1" x14ac:dyDescent="0.25">
      <c r="A28" s="79" t="s">
        <v>2</v>
      </c>
      <c r="B28" s="81"/>
      <c r="C28" s="88">
        <v>14067045</v>
      </c>
      <c r="D28" s="63">
        <f t="shared" si="4"/>
        <v>16055039.527184278</v>
      </c>
      <c r="F28" s="90">
        <f t="shared" si="5"/>
        <v>1987994.5271842778</v>
      </c>
      <c r="G28" s="91">
        <f t="shared" si="6"/>
        <v>0.14132282417410891</v>
      </c>
      <c r="R28" s="44"/>
    </row>
    <row r="29" spans="1:26" s="7" customFormat="1" x14ac:dyDescent="0.25">
      <c r="A29" s="79" t="s">
        <v>3</v>
      </c>
      <c r="B29" s="81"/>
      <c r="C29" s="88">
        <v>11651769</v>
      </c>
      <c r="D29" s="63">
        <f t="shared" si="4"/>
        <v>13225936.858478939</v>
      </c>
      <c r="F29" s="90">
        <f t="shared" si="5"/>
        <v>1574167.8584789392</v>
      </c>
      <c r="G29" s="91">
        <f t="shared" si="6"/>
        <v>0.13510119008357779</v>
      </c>
      <c r="R29" s="44"/>
    </row>
    <row r="30" spans="1:26" s="7" customFormat="1" x14ac:dyDescent="0.25">
      <c r="A30" s="79" t="s">
        <v>4</v>
      </c>
      <c r="B30" s="81"/>
      <c r="C30" s="88">
        <v>23797503</v>
      </c>
      <c r="D30" s="63">
        <f t="shared" si="4"/>
        <v>27095100.735416912</v>
      </c>
      <c r="F30" s="90">
        <f t="shared" si="5"/>
        <v>3297597.7354169115</v>
      </c>
      <c r="G30" s="91">
        <f t="shared" si="6"/>
        <v>0.13856906480553491</v>
      </c>
      <c r="I30" s="144"/>
      <c r="R30" s="44"/>
    </row>
    <row r="31" spans="1:26" s="7" customFormat="1" x14ac:dyDescent="0.25">
      <c r="A31" s="79" t="s">
        <v>5</v>
      </c>
      <c r="B31" s="81"/>
      <c r="C31" s="88">
        <v>6595644</v>
      </c>
      <c r="D31" s="63">
        <f t="shared" si="4"/>
        <v>6760974.5001273332</v>
      </c>
      <c r="F31" s="90">
        <f t="shared" si="5"/>
        <v>165330.50012733322</v>
      </c>
      <c r="G31" s="91">
        <f t="shared" si="6"/>
        <v>2.5066619745900964E-2</v>
      </c>
      <c r="R31" s="44"/>
    </row>
    <row r="32" spans="1:26" s="7" customFormat="1" x14ac:dyDescent="0.25">
      <c r="A32" s="78" t="s">
        <v>6</v>
      </c>
      <c r="B32" s="80"/>
      <c r="C32" s="87">
        <v>8307766</v>
      </c>
      <c r="D32" s="63">
        <f t="shared" si="4"/>
        <v>8715961.4374281839</v>
      </c>
      <c r="F32" s="90">
        <f t="shared" si="5"/>
        <v>408195.43742818385</v>
      </c>
      <c r="G32" s="91">
        <f t="shared" si="6"/>
        <v>4.9134200148172671E-2</v>
      </c>
      <c r="R32" s="44"/>
    </row>
    <row r="33" spans="1:20" s="7" customFormat="1" ht="15.75" thickBot="1" x14ac:dyDescent="0.3">
      <c r="A33" s="112" t="s">
        <v>7</v>
      </c>
      <c r="B33" s="80"/>
      <c r="C33" s="114">
        <v>8569627</v>
      </c>
      <c r="D33" s="109">
        <f t="shared" si="4"/>
        <v>9593955.4107079655</v>
      </c>
      <c r="F33" s="92">
        <f t="shared" si="5"/>
        <v>1024328.4107079655</v>
      </c>
      <c r="G33" s="93">
        <f t="shared" si="6"/>
        <v>0.11953010448505699</v>
      </c>
      <c r="R33" s="44"/>
    </row>
    <row r="34" spans="1:20" s="7" customFormat="1" ht="5.0999999999999996" customHeight="1" thickBot="1" x14ac:dyDescent="0.3">
      <c r="A34" s="111"/>
      <c r="B34" s="81"/>
      <c r="C34" s="117"/>
      <c r="D34" s="111"/>
      <c r="G34" s="89"/>
      <c r="R34" s="44"/>
    </row>
    <row r="35" spans="1:20" s="9" customFormat="1" ht="15.75" thickBot="1" x14ac:dyDescent="0.3">
      <c r="A35" s="113" t="s">
        <v>8</v>
      </c>
      <c r="B35" s="83"/>
      <c r="C35" s="115">
        <f>SUM(C26:C33)</f>
        <v>95165569</v>
      </c>
      <c r="D35" s="116">
        <f>SUM(D26:D33)</f>
        <v>105502489.39999999</v>
      </c>
      <c r="F35" s="94">
        <f t="shared" si="5"/>
        <v>10336920.399999991</v>
      </c>
      <c r="G35" s="95">
        <f t="shared" si="6"/>
        <v>0.10862038139024831</v>
      </c>
      <c r="R35" s="47"/>
    </row>
    <row r="36" spans="1:20" s="7" customFormat="1" x14ac:dyDescent="0.25">
      <c r="T36" s="44"/>
    </row>
    <row r="37" spans="1:20" s="7" customFormat="1" x14ac:dyDescent="0.25">
      <c r="T37" s="44"/>
    </row>
  </sheetData>
  <mergeCells count="7">
    <mergeCell ref="F25:G25"/>
    <mergeCell ref="O11:O12"/>
    <mergeCell ref="M11:M12"/>
    <mergeCell ref="A11:A12"/>
    <mergeCell ref="L11:L12"/>
    <mergeCell ref="C11:C12"/>
    <mergeCell ref="D11:D12"/>
  </mergeCells>
  <pageMargins left="0.7" right="0.7" top="0.78740157499999996" bottom="0.78740157499999996" header="0.3" footer="0.3"/>
  <pageSetup paperSize="9" scale="63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34998626667073579"/>
    <pageSetUpPr fitToPage="1"/>
  </sheetPr>
  <dimension ref="A1:F40"/>
  <sheetViews>
    <sheetView zoomScaleNormal="100" workbookViewId="0">
      <selection activeCell="O32" sqref="O32"/>
    </sheetView>
  </sheetViews>
  <sheetFormatPr defaultRowHeight="15" x14ac:dyDescent="0.25"/>
  <cols>
    <col min="1" max="1" width="30" bestFit="1" customWidth="1"/>
    <col min="2" max="2" width="7.140625" bestFit="1" customWidth="1"/>
    <col min="3" max="3" width="0.85546875" customWidth="1"/>
    <col min="4" max="4" width="15.7109375" customWidth="1"/>
    <col min="5" max="6" width="15.7109375" style="15" customWidth="1"/>
    <col min="7" max="7" width="0.85546875" customWidth="1"/>
  </cols>
  <sheetData>
    <row r="1" spans="1:6" ht="15.75" x14ac:dyDescent="0.25">
      <c r="A1" s="10" t="s">
        <v>71</v>
      </c>
      <c r="B1" s="9"/>
      <c r="C1" s="9"/>
    </row>
    <row r="2" spans="1:6" ht="5.0999999999999996" customHeight="1" thickBot="1" x14ac:dyDescent="0.3"/>
    <row r="3" spans="1:6" x14ac:dyDescent="0.25">
      <c r="A3" s="134" t="s">
        <v>68</v>
      </c>
      <c r="B3" s="513">
        <f>'1.1 Objemy A JU'!C7</f>
        <v>491848670.99871111</v>
      </c>
      <c r="C3" s="514"/>
      <c r="D3" s="515"/>
    </row>
    <row r="4" spans="1:6" x14ac:dyDescent="0.25">
      <c r="A4" s="135" t="s">
        <v>69</v>
      </c>
      <c r="B4" s="516">
        <f>'1.2 Objemy K JU'!C7</f>
        <v>105502489.40000001</v>
      </c>
      <c r="C4" s="517"/>
      <c r="D4" s="518"/>
    </row>
    <row r="5" spans="1:6" x14ac:dyDescent="0.25">
      <c r="A5" s="133" t="s">
        <v>66</v>
      </c>
      <c r="B5" s="519">
        <f>SUM(B3:B4)</f>
        <v>597351160.39871109</v>
      </c>
      <c r="C5" s="520"/>
      <c r="D5" s="521"/>
    </row>
    <row r="6" spans="1:6" x14ac:dyDescent="0.25">
      <c r="A6" s="135" t="s">
        <v>67</v>
      </c>
      <c r="B6" s="516">
        <f>'1.1 Objemy A JU'!C8+'1.2 Objemy K JU'!C6</f>
        <v>31439534.757826902</v>
      </c>
      <c r="C6" s="517"/>
      <c r="D6" s="518"/>
    </row>
    <row r="7" spans="1:6" ht="15.75" thickBot="1" x14ac:dyDescent="0.3">
      <c r="A7" s="136" t="s">
        <v>70</v>
      </c>
      <c r="B7" s="522">
        <f>'1.1 Objemy A JU'!C6+'1.2 Objemy K JU'!C3</f>
        <v>628790695.15653801</v>
      </c>
      <c r="C7" s="523"/>
      <c r="D7" s="524"/>
    </row>
    <row r="8" spans="1:6" ht="5.0999999999999996" customHeight="1" thickBot="1" x14ac:dyDescent="0.3"/>
    <row r="9" spans="1:6" ht="30" x14ac:dyDescent="0.25">
      <c r="A9" s="509" t="s">
        <v>38</v>
      </c>
      <c r="B9" s="510"/>
      <c r="C9" s="154"/>
      <c r="D9" s="118" t="s">
        <v>72</v>
      </c>
      <c r="E9" s="137" t="s">
        <v>51</v>
      </c>
      <c r="F9" s="138" t="s">
        <v>73</v>
      </c>
    </row>
    <row r="10" spans="1:6" x14ac:dyDescent="0.25">
      <c r="A10" s="121" t="s">
        <v>0</v>
      </c>
      <c r="B10" s="147" t="s">
        <v>14</v>
      </c>
      <c r="C10" s="152"/>
      <c r="D10" s="150">
        <f>'1.1 Objemy A JU'!G13</f>
        <v>54850612.48696053</v>
      </c>
      <c r="E10" s="14">
        <f>'1.2 Objemy K JU'!O13</f>
        <v>12310877.253957041</v>
      </c>
      <c r="F10" s="139">
        <f>SUM(D10:E10)</f>
        <v>67161489.740917563</v>
      </c>
    </row>
    <row r="11" spans="1:6" x14ac:dyDescent="0.25">
      <c r="A11" s="122" t="s">
        <v>1</v>
      </c>
      <c r="B11" s="148" t="s">
        <v>15</v>
      </c>
      <c r="C11" s="153"/>
      <c r="D11" s="150">
        <f>'1.1 Objemy A JU'!G14</f>
        <v>31154182.018917233</v>
      </c>
      <c r="E11" s="14">
        <f>'1.2 Objemy K JU'!O14</f>
        <v>11744643.676699348</v>
      </c>
      <c r="F11" s="139">
        <f t="shared" ref="F11:F17" si="0">SUM(D11:E11)</f>
        <v>42898825.695616581</v>
      </c>
    </row>
    <row r="12" spans="1:6" x14ac:dyDescent="0.25">
      <c r="A12" s="121" t="s">
        <v>2</v>
      </c>
      <c r="B12" s="147" t="s">
        <v>16</v>
      </c>
      <c r="C12" s="152"/>
      <c r="D12" s="150">
        <f>'1.1 Objemy A JU'!G15</f>
        <v>21418620.549854781</v>
      </c>
      <c r="E12" s="14">
        <f>'1.2 Objemy K JU'!O15</f>
        <v>16055039.527184278</v>
      </c>
      <c r="F12" s="139">
        <f t="shared" si="0"/>
        <v>37473660.077039063</v>
      </c>
    </row>
    <row r="13" spans="1:6" x14ac:dyDescent="0.25">
      <c r="A13" s="121" t="s">
        <v>3</v>
      </c>
      <c r="B13" s="147" t="s">
        <v>17</v>
      </c>
      <c r="C13" s="152"/>
      <c r="D13" s="150">
        <f>'1.1 Objemy A JU'!G16</f>
        <v>103789730.31960545</v>
      </c>
      <c r="E13" s="14">
        <f>'1.2 Objemy K JU'!O16</f>
        <v>13225936.858478939</v>
      </c>
      <c r="F13" s="139">
        <f t="shared" si="0"/>
        <v>117015667.17808439</v>
      </c>
    </row>
    <row r="14" spans="1:6" x14ac:dyDescent="0.25">
      <c r="A14" s="121" t="s">
        <v>4</v>
      </c>
      <c r="B14" s="147" t="s">
        <v>77</v>
      </c>
      <c r="C14" s="152"/>
      <c r="D14" s="150">
        <f>'1.1 Objemy A JU'!G17</f>
        <v>79560797.12687397</v>
      </c>
      <c r="E14" s="14">
        <f>'1.2 Objemy K JU'!O17</f>
        <v>27095100.735416912</v>
      </c>
      <c r="F14" s="139">
        <f t="shared" si="0"/>
        <v>106655897.86229089</v>
      </c>
    </row>
    <row r="15" spans="1:6" x14ac:dyDescent="0.25">
      <c r="A15" s="121" t="s">
        <v>5</v>
      </c>
      <c r="B15" s="147" t="s">
        <v>18</v>
      </c>
      <c r="C15" s="152"/>
      <c r="D15" s="150">
        <f>'1.1 Objemy A JU'!G18</f>
        <v>25159369.407773562</v>
      </c>
      <c r="E15" s="14">
        <f>'1.2 Objemy K JU'!O18</f>
        <v>6760974.5001273332</v>
      </c>
      <c r="F15" s="139">
        <f t="shared" si="0"/>
        <v>31920343.907900896</v>
      </c>
    </row>
    <row r="16" spans="1:6" x14ac:dyDescent="0.25">
      <c r="A16" s="122" t="s">
        <v>6</v>
      </c>
      <c r="B16" s="148" t="s">
        <v>20</v>
      </c>
      <c r="C16" s="153"/>
      <c r="D16" s="150">
        <f>'1.1 Objemy A JU'!G19</f>
        <v>108516538.65193851</v>
      </c>
      <c r="E16" s="14">
        <f>'1.2 Objemy K JU'!O19</f>
        <v>8715961.4374281839</v>
      </c>
      <c r="F16" s="139">
        <f t="shared" si="0"/>
        <v>117232500.0893667</v>
      </c>
    </row>
    <row r="17" spans="1:6" x14ac:dyDescent="0.25">
      <c r="A17" s="122" t="s">
        <v>7</v>
      </c>
      <c r="B17" s="148" t="s">
        <v>19</v>
      </c>
      <c r="C17" s="153"/>
      <c r="D17" s="150">
        <f>'1.1 Objemy A JU'!G20</f>
        <v>67398820.436787099</v>
      </c>
      <c r="E17" s="14">
        <f>'1.2 Objemy K JU'!O20</f>
        <v>9593955.4107079655</v>
      </c>
      <c r="F17" s="139">
        <f t="shared" si="0"/>
        <v>76992775.847495064</v>
      </c>
    </row>
    <row r="18" spans="1:6" ht="15.75" thickBot="1" x14ac:dyDescent="0.3">
      <c r="A18" s="511" t="s">
        <v>8</v>
      </c>
      <c r="B18" s="512"/>
      <c r="C18" s="155"/>
      <c r="D18" s="151">
        <f>SUM(D10:D17)</f>
        <v>491848670.99871111</v>
      </c>
      <c r="E18" s="141">
        <f>SUM(E10:E17)</f>
        <v>105502489.39999999</v>
      </c>
      <c r="F18" s="142">
        <f>SUM(F10:F17)</f>
        <v>597351160.3987112</v>
      </c>
    </row>
    <row r="19" spans="1:6" ht="5.0999999999999996" customHeight="1" thickBot="1" x14ac:dyDescent="0.3"/>
    <row r="20" spans="1:6" ht="30" x14ac:dyDescent="0.25">
      <c r="A20" s="509" t="s">
        <v>38</v>
      </c>
      <c r="B20" s="510"/>
      <c r="C20" s="154"/>
      <c r="D20" s="156" t="s">
        <v>75</v>
      </c>
      <c r="E20" s="119" t="s">
        <v>26</v>
      </c>
      <c r="F20" s="138" t="s">
        <v>74</v>
      </c>
    </row>
    <row r="21" spans="1:6" x14ac:dyDescent="0.25">
      <c r="A21" s="121" t="s">
        <v>0</v>
      </c>
      <c r="B21" s="147" t="s">
        <v>14</v>
      </c>
      <c r="C21" s="152"/>
      <c r="D21" s="157">
        <v>64133638</v>
      </c>
      <c r="E21" s="26">
        <f>'1.1 Objemy A JU'!C26+'1.2 Objemy K JU'!C26</f>
        <v>65131486</v>
      </c>
      <c r="F21" s="139">
        <f>F10</f>
        <v>67161489.740917563</v>
      </c>
    </row>
    <row r="22" spans="1:6" x14ac:dyDescent="0.25">
      <c r="A22" s="122" t="s">
        <v>1</v>
      </c>
      <c r="B22" s="148" t="s">
        <v>15</v>
      </c>
      <c r="C22" s="153"/>
      <c r="D22" s="157">
        <v>40266178</v>
      </c>
      <c r="E22" s="26">
        <f>'1.1 Objemy A JU'!C27+'1.2 Objemy K JU'!C27</f>
        <v>41157952</v>
      </c>
      <c r="F22" s="139">
        <f t="shared" ref="F22:F28" si="1">F11</f>
        <v>42898825.695616581</v>
      </c>
    </row>
    <row r="23" spans="1:6" x14ac:dyDescent="0.25">
      <c r="A23" s="121" t="s">
        <v>2</v>
      </c>
      <c r="B23" s="147" t="s">
        <v>16</v>
      </c>
      <c r="C23" s="152"/>
      <c r="D23" s="157">
        <v>34845080</v>
      </c>
      <c r="E23" s="26">
        <f>'1.1 Objemy A JU'!C28+'1.2 Objemy K JU'!C28</f>
        <v>35265075</v>
      </c>
      <c r="F23" s="139">
        <f t="shared" si="1"/>
        <v>37473660.077039063</v>
      </c>
    </row>
    <row r="24" spans="1:6" x14ac:dyDescent="0.25">
      <c r="A24" s="121" t="s">
        <v>3</v>
      </c>
      <c r="B24" s="147" t="s">
        <v>17</v>
      </c>
      <c r="C24" s="152"/>
      <c r="D24" s="157">
        <v>111057956</v>
      </c>
      <c r="E24" s="26">
        <f>'1.1 Objemy A JU'!C29+'1.2 Objemy K JU'!C29</f>
        <v>111813632</v>
      </c>
      <c r="F24" s="139">
        <f t="shared" si="1"/>
        <v>117015667.17808439</v>
      </c>
    </row>
    <row r="25" spans="1:6" x14ac:dyDescent="0.25">
      <c r="A25" s="121" t="s">
        <v>4</v>
      </c>
      <c r="B25" s="147" t="s">
        <v>77</v>
      </c>
      <c r="C25" s="152"/>
      <c r="D25" s="157">
        <v>101897204</v>
      </c>
      <c r="E25" s="26">
        <f>'1.1 Objemy A JU'!C30+'1.2 Objemy K JU'!C30</f>
        <v>100129209</v>
      </c>
      <c r="F25" s="139">
        <f t="shared" si="1"/>
        <v>106655897.86229089</v>
      </c>
    </row>
    <row r="26" spans="1:6" x14ac:dyDescent="0.25">
      <c r="A26" s="121" t="s">
        <v>5</v>
      </c>
      <c r="B26" s="147" t="s">
        <v>18</v>
      </c>
      <c r="C26" s="152"/>
      <c r="D26" s="157">
        <v>28405865</v>
      </c>
      <c r="E26" s="26">
        <f>'1.1 Objemy A JU'!C31+'1.2 Objemy K JU'!C31</f>
        <v>30284794</v>
      </c>
      <c r="F26" s="139">
        <f t="shared" si="1"/>
        <v>31920343.907900896</v>
      </c>
    </row>
    <row r="27" spans="1:6" x14ac:dyDescent="0.25">
      <c r="A27" s="122" t="s">
        <v>6</v>
      </c>
      <c r="B27" s="148" t="s">
        <v>20</v>
      </c>
      <c r="C27" s="153"/>
      <c r="D27" s="157">
        <v>109360257</v>
      </c>
      <c r="E27" s="26">
        <f>'1.1 Objemy A JU'!C32+'1.2 Objemy K JU'!C32</f>
        <v>110819742</v>
      </c>
      <c r="F27" s="139">
        <f t="shared" si="1"/>
        <v>117232500.0893667</v>
      </c>
    </row>
    <row r="28" spans="1:6" x14ac:dyDescent="0.25">
      <c r="A28" s="122" t="s">
        <v>7</v>
      </c>
      <c r="B28" s="148" t="s">
        <v>19</v>
      </c>
      <c r="C28" s="153"/>
      <c r="D28" s="157">
        <v>69787412</v>
      </c>
      <c r="E28" s="26">
        <f>'1.1 Objemy A JU'!C33+'1.2 Objemy K JU'!C33</f>
        <v>70988657</v>
      </c>
      <c r="F28" s="139">
        <f t="shared" si="1"/>
        <v>76992775.847495064</v>
      </c>
    </row>
    <row r="29" spans="1:6" ht="15.75" thickBot="1" x14ac:dyDescent="0.3">
      <c r="A29" s="511" t="s">
        <v>8</v>
      </c>
      <c r="B29" s="512"/>
      <c r="C29" s="155"/>
      <c r="D29" s="158">
        <f>SUM(D21:D28)</f>
        <v>559753590</v>
      </c>
      <c r="E29" s="143">
        <f>SUM(E21:E28)</f>
        <v>565590547</v>
      </c>
      <c r="F29" s="142">
        <f>SUM(F21:F28)</f>
        <v>597351160.3987112</v>
      </c>
    </row>
    <row r="30" spans="1:6" ht="5.0999999999999996" customHeight="1" thickBot="1" x14ac:dyDescent="0.3"/>
    <row r="31" spans="1:6" ht="30" customHeight="1" x14ac:dyDescent="0.25">
      <c r="A31" s="509" t="s">
        <v>38</v>
      </c>
      <c r="B31" s="510"/>
      <c r="C31" s="154"/>
      <c r="D31" s="507" t="s">
        <v>76</v>
      </c>
      <c r="E31" s="508"/>
    </row>
    <row r="32" spans="1:6" x14ac:dyDescent="0.25">
      <c r="A32" s="121" t="s">
        <v>0</v>
      </c>
      <c r="B32" s="147" t="s">
        <v>14</v>
      </c>
      <c r="C32" s="152"/>
      <c r="D32" s="159">
        <f>F21-E21</f>
        <v>2030003.7409175634</v>
      </c>
      <c r="E32" s="145">
        <f>D32/E21</f>
        <v>3.1167778682610794E-2</v>
      </c>
    </row>
    <row r="33" spans="1:5" x14ac:dyDescent="0.25">
      <c r="A33" s="122" t="s">
        <v>1</v>
      </c>
      <c r="B33" s="148" t="s">
        <v>15</v>
      </c>
      <c r="C33" s="153"/>
      <c r="D33" s="159">
        <f t="shared" ref="D33:D40" si="2">F22-E22</f>
        <v>1740873.6956165805</v>
      </c>
      <c r="E33" s="145">
        <f t="shared" ref="E33:E40" si="3">D33/E22</f>
        <v>4.2297383883838059E-2</v>
      </c>
    </row>
    <row r="34" spans="1:5" x14ac:dyDescent="0.25">
      <c r="A34" s="121" t="s">
        <v>2</v>
      </c>
      <c r="B34" s="147" t="s">
        <v>16</v>
      </c>
      <c r="C34" s="152"/>
      <c r="D34" s="159">
        <f t="shared" si="2"/>
        <v>2208585.077039063</v>
      </c>
      <c r="E34" s="145">
        <f t="shared" si="3"/>
        <v>6.2628112290674637E-2</v>
      </c>
    </row>
    <row r="35" spans="1:5" x14ac:dyDescent="0.25">
      <c r="A35" s="121" t="s">
        <v>3</v>
      </c>
      <c r="B35" s="147" t="s">
        <v>17</v>
      </c>
      <c r="C35" s="152"/>
      <c r="D35" s="159">
        <f t="shared" si="2"/>
        <v>5202035.1780843884</v>
      </c>
      <c r="E35" s="145">
        <f t="shared" si="3"/>
        <v>4.6524158861813811E-2</v>
      </c>
    </row>
    <row r="36" spans="1:5" x14ac:dyDescent="0.25">
      <c r="A36" s="121" t="s">
        <v>4</v>
      </c>
      <c r="B36" s="147" t="s">
        <v>77</v>
      </c>
      <c r="C36" s="152"/>
      <c r="D36" s="159">
        <f t="shared" si="2"/>
        <v>6526688.862290889</v>
      </c>
      <c r="E36" s="145">
        <f t="shared" si="3"/>
        <v>6.5182666751026561E-2</v>
      </c>
    </row>
    <row r="37" spans="1:5" x14ac:dyDescent="0.25">
      <c r="A37" s="121" t="s">
        <v>5</v>
      </c>
      <c r="B37" s="147" t="s">
        <v>18</v>
      </c>
      <c r="C37" s="152"/>
      <c r="D37" s="159">
        <f t="shared" si="2"/>
        <v>1635549.9079008959</v>
      </c>
      <c r="E37" s="145">
        <f t="shared" si="3"/>
        <v>5.4005647451354492E-2</v>
      </c>
    </row>
    <row r="38" spans="1:5" x14ac:dyDescent="0.25">
      <c r="A38" s="122" t="s">
        <v>6</v>
      </c>
      <c r="B38" s="148" t="s">
        <v>20</v>
      </c>
      <c r="C38" s="153"/>
      <c r="D38" s="159">
        <f t="shared" si="2"/>
        <v>6412758.0893667042</v>
      </c>
      <c r="E38" s="145">
        <f t="shared" si="3"/>
        <v>5.7866567577523363E-2</v>
      </c>
    </row>
    <row r="39" spans="1:5" x14ac:dyDescent="0.25">
      <c r="A39" s="122" t="s">
        <v>7</v>
      </c>
      <c r="B39" s="148" t="s">
        <v>19</v>
      </c>
      <c r="C39" s="153"/>
      <c r="D39" s="159">
        <f t="shared" si="2"/>
        <v>6004118.8474950641</v>
      </c>
      <c r="E39" s="145">
        <f t="shared" si="3"/>
        <v>8.4578566509506778E-2</v>
      </c>
    </row>
    <row r="40" spans="1:5" ht="15.75" thickBot="1" x14ac:dyDescent="0.3">
      <c r="A40" s="140" t="s">
        <v>8</v>
      </c>
      <c r="B40" s="149"/>
      <c r="C40" s="155"/>
      <c r="D40" s="160">
        <f t="shared" si="2"/>
        <v>31760613.398711205</v>
      </c>
      <c r="E40" s="146">
        <f t="shared" si="3"/>
        <v>5.6154781170186713E-2</v>
      </c>
    </row>
  </sheetData>
  <mergeCells count="11">
    <mergeCell ref="A9:B9"/>
    <mergeCell ref="B3:D3"/>
    <mergeCell ref="B4:D4"/>
    <mergeCell ref="B5:D5"/>
    <mergeCell ref="B6:D6"/>
    <mergeCell ref="B7:D7"/>
    <mergeCell ref="D31:E31"/>
    <mergeCell ref="A31:B31"/>
    <mergeCell ref="A29:B29"/>
    <mergeCell ref="A20:B20"/>
    <mergeCell ref="A18:B18"/>
  </mergeCells>
  <pageMargins left="0.7" right="0.7" top="0.78740157499999996" bottom="0.78740157499999996" header="0.3" footer="0.3"/>
  <pageSetup paperSize="9" scale="78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V56"/>
  <sheetViews>
    <sheetView topLeftCell="E10" zoomScaleNormal="100" workbookViewId="0">
      <selection activeCell="T43" sqref="T43"/>
    </sheetView>
  </sheetViews>
  <sheetFormatPr defaultRowHeight="15" x14ac:dyDescent="0.25"/>
  <cols>
    <col min="1" max="1" width="31.7109375" customWidth="1"/>
    <col min="2" max="2" width="0.85546875" customWidth="1"/>
    <col min="3" max="3" width="13.140625" customWidth="1"/>
    <col min="4" max="5" width="17.5703125" bestFit="1" customWidth="1"/>
    <col min="6" max="17" width="12.7109375" customWidth="1"/>
    <col min="18" max="18" width="16.140625" bestFit="1" customWidth="1"/>
    <col min="19" max="19" width="0.85546875" customWidth="1"/>
    <col min="20" max="20" width="13.140625" customWidth="1"/>
    <col min="21" max="21" width="0.85546875" customWidth="1"/>
    <col min="22" max="22" width="17.7109375" bestFit="1" customWidth="1"/>
  </cols>
  <sheetData>
    <row r="1" spans="1:14" s="2" customFormat="1" ht="15.75" x14ac:dyDescent="0.25">
      <c r="A1" s="10" t="s">
        <v>86</v>
      </c>
      <c r="B1" s="10"/>
    </row>
    <row r="2" spans="1:14" x14ac:dyDescent="0.25">
      <c r="A2" s="129" t="s">
        <v>13</v>
      </c>
      <c r="B2" s="129"/>
      <c r="C2" s="129"/>
      <c r="D2" s="129"/>
      <c r="E2" s="129"/>
      <c r="F2" s="129"/>
      <c r="G2" s="129"/>
      <c r="H2" s="129"/>
    </row>
    <row r="3" spans="1:14" s="11" customFormat="1" x14ac:dyDescent="0.25">
      <c r="A3" s="11" t="s">
        <v>9</v>
      </c>
      <c r="G3" s="525">
        <v>235892194</v>
      </c>
      <c r="H3" s="525"/>
    </row>
    <row r="4" spans="1:14" s="12" customFormat="1" x14ac:dyDescent="0.25">
      <c r="A4" s="12" t="s">
        <v>79</v>
      </c>
      <c r="G4" s="526">
        <v>4532944</v>
      </c>
      <c r="H4" s="526"/>
    </row>
    <row r="5" spans="1:14" s="12" customFormat="1" x14ac:dyDescent="0.25">
      <c r="A5" s="12" t="s">
        <v>80</v>
      </c>
      <c r="G5" s="526">
        <v>1133236</v>
      </c>
      <c r="H5" s="526"/>
    </row>
    <row r="6" spans="1:14" s="12" customFormat="1" ht="15.75" thickBot="1" x14ac:dyDescent="0.3">
      <c r="A6" s="165" t="s">
        <v>85</v>
      </c>
      <c r="B6" s="165"/>
      <c r="C6" s="165"/>
      <c r="D6" s="165"/>
      <c r="E6" s="165"/>
      <c r="F6" s="165"/>
      <c r="G6" s="528">
        <v>14732067</v>
      </c>
      <c r="H6" s="528"/>
    </row>
    <row r="7" spans="1:14" s="12" customFormat="1" ht="15.75" thickTop="1" x14ac:dyDescent="0.25">
      <c r="A7" s="11" t="s">
        <v>81</v>
      </c>
      <c r="B7" s="11"/>
      <c r="C7" s="11"/>
      <c r="D7" s="11"/>
      <c r="E7" s="11"/>
      <c r="F7" s="11"/>
      <c r="G7" s="525">
        <f>G3-G4-G5-G6</f>
        <v>215493947</v>
      </c>
      <c r="H7" s="525"/>
    </row>
    <row r="8" spans="1:14" s="12" customFormat="1" ht="5.0999999999999996" customHeight="1" x14ac:dyDescent="0.25">
      <c r="G8" s="18"/>
      <c r="H8" s="18"/>
    </row>
    <row r="9" spans="1:14" s="12" customFormat="1" x14ac:dyDescent="0.25">
      <c r="A9" s="162" t="s">
        <v>78</v>
      </c>
      <c r="B9" s="162"/>
      <c r="C9" s="162"/>
      <c r="D9" s="162"/>
      <c r="E9" s="162"/>
      <c r="F9" s="162"/>
      <c r="G9" s="163"/>
      <c r="H9" s="163"/>
    </row>
    <row r="10" spans="1:14" s="11" customFormat="1" x14ac:dyDescent="0.25">
      <c r="A10" s="11" t="s">
        <v>9</v>
      </c>
      <c r="G10" s="527">
        <v>271324681</v>
      </c>
      <c r="H10" s="527"/>
      <c r="I10" s="19"/>
      <c r="K10" s="22"/>
    </row>
    <row r="11" spans="1:14" s="11" customFormat="1" x14ac:dyDescent="0.25">
      <c r="A11" s="12" t="s">
        <v>82</v>
      </c>
      <c r="B11" s="12"/>
      <c r="G11" s="526">
        <f>G10*0.035</f>
        <v>9496363.8350000009</v>
      </c>
      <c r="H11" s="526"/>
      <c r="I11" s="19"/>
      <c r="K11" s="22"/>
    </row>
    <row r="12" spans="1:14" s="11" customFormat="1" x14ac:dyDescent="0.25">
      <c r="A12" s="12" t="s">
        <v>88</v>
      </c>
      <c r="B12" s="12"/>
      <c r="G12" s="526">
        <f>G10*0.02</f>
        <v>5426493.6200000001</v>
      </c>
      <c r="H12" s="526"/>
      <c r="I12" s="19"/>
      <c r="K12" s="22"/>
    </row>
    <row r="13" spans="1:14" s="11" customFormat="1" x14ac:dyDescent="0.25">
      <c r="A13" s="12" t="s">
        <v>83</v>
      </c>
      <c r="B13" s="12"/>
      <c r="G13" s="526">
        <f>G10*0.005</f>
        <v>1356623.405</v>
      </c>
      <c r="H13" s="526"/>
      <c r="I13" s="19"/>
      <c r="K13" s="22"/>
    </row>
    <row r="14" spans="1:14" s="11" customFormat="1" ht="15.75" thickBot="1" x14ac:dyDescent="0.3">
      <c r="A14" s="165" t="s">
        <v>84</v>
      </c>
      <c r="B14" s="165"/>
      <c r="C14" s="166"/>
      <c r="D14" s="166"/>
      <c r="E14" s="166"/>
      <c r="F14" s="166"/>
      <c r="G14" s="528">
        <f>G10*0.065</f>
        <v>17636104.265000001</v>
      </c>
      <c r="H14" s="528"/>
      <c r="I14" s="19"/>
      <c r="K14" s="22"/>
    </row>
    <row r="15" spans="1:14" s="11" customFormat="1" ht="15.75" thickTop="1" x14ac:dyDescent="0.25">
      <c r="A15" s="11" t="s">
        <v>81</v>
      </c>
      <c r="G15" s="525">
        <f>G10-SUM(G11:H14)</f>
        <v>237409095.875</v>
      </c>
      <c r="H15" s="525"/>
      <c r="I15" s="19"/>
      <c r="K15" s="22"/>
    </row>
    <row r="16" spans="1:14" s="11" customFormat="1" x14ac:dyDescent="0.25">
      <c r="A16" s="12" t="s">
        <v>89</v>
      </c>
      <c r="B16" s="12"/>
      <c r="C16" s="167">
        <v>0.54</v>
      </c>
      <c r="G16" s="526">
        <f>C16*$G$10</f>
        <v>146515327.74000001</v>
      </c>
      <c r="H16" s="526"/>
      <c r="I16" s="164"/>
      <c r="J16" s="211"/>
      <c r="N16" s="22"/>
    </row>
    <row r="17" spans="1:22" s="11" customFormat="1" x14ac:dyDescent="0.25">
      <c r="A17" s="12" t="s">
        <v>87</v>
      </c>
      <c r="B17" s="12"/>
      <c r="C17" s="167">
        <v>0.2</v>
      </c>
      <c r="G17" s="526">
        <f t="shared" ref="G17:G22" si="0">C17*$G$10</f>
        <v>54264936.200000003</v>
      </c>
      <c r="H17" s="526"/>
      <c r="I17" s="164"/>
      <c r="N17" s="22"/>
    </row>
    <row r="18" spans="1:22" s="11" customFormat="1" x14ac:dyDescent="0.25">
      <c r="A18" s="12" t="s">
        <v>99</v>
      </c>
      <c r="B18" s="12"/>
      <c r="C18" s="167">
        <v>0.04</v>
      </c>
      <c r="G18" s="526">
        <f t="shared" si="0"/>
        <v>10852987.24</v>
      </c>
      <c r="H18" s="526"/>
      <c r="I18" s="164"/>
      <c r="N18" s="22"/>
    </row>
    <row r="19" spans="1:22" s="11" customFormat="1" x14ac:dyDescent="0.25">
      <c r="A19" s="12" t="s">
        <v>100</v>
      </c>
      <c r="B19" s="12"/>
      <c r="C19" s="167">
        <v>0.04</v>
      </c>
      <c r="G19" s="526">
        <f t="shared" si="0"/>
        <v>10852987.24</v>
      </c>
      <c r="H19" s="526"/>
      <c r="I19" s="164"/>
      <c r="N19" s="22"/>
    </row>
    <row r="20" spans="1:22" s="11" customFormat="1" x14ac:dyDescent="0.25">
      <c r="A20" s="12" t="s">
        <v>101</v>
      </c>
      <c r="B20" s="12"/>
      <c r="C20" s="167">
        <v>0.03</v>
      </c>
      <c r="G20" s="526">
        <f t="shared" si="0"/>
        <v>8139740.4299999997</v>
      </c>
      <c r="H20" s="526"/>
      <c r="I20" s="164"/>
      <c r="L20" s="210"/>
      <c r="N20" s="22"/>
    </row>
    <row r="21" spans="1:22" s="11" customFormat="1" x14ac:dyDescent="0.25">
      <c r="A21" s="12" t="s">
        <v>102</v>
      </c>
      <c r="B21" s="12"/>
      <c r="C21" s="167">
        <v>0.02</v>
      </c>
      <c r="G21" s="526">
        <f t="shared" si="0"/>
        <v>5426493.6200000001</v>
      </c>
      <c r="H21" s="526"/>
      <c r="I21" s="164"/>
      <c r="J21" s="170"/>
      <c r="K21" s="170"/>
      <c r="L21" s="170"/>
      <c r="M21" s="170"/>
      <c r="N21" s="170"/>
      <c r="O21" s="170"/>
    </row>
    <row r="22" spans="1:22" s="11" customFormat="1" x14ac:dyDescent="0.25">
      <c r="A22" s="12" t="s">
        <v>103</v>
      </c>
      <c r="B22" s="12"/>
      <c r="C22" s="167">
        <v>5.0000000000000001E-3</v>
      </c>
      <c r="G22" s="526">
        <f t="shared" si="0"/>
        <v>1356623.405</v>
      </c>
      <c r="H22" s="526"/>
      <c r="I22" s="164"/>
      <c r="N22" s="22"/>
    </row>
    <row r="23" spans="1:22" ht="5.0999999999999996" customHeight="1" thickBot="1" x14ac:dyDescent="0.3">
      <c r="O23" s="13"/>
    </row>
    <row r="24" spans="1:22" s="30" customFormat="1" ht="64.5" customHeight="1" x14ac:dyDescent="0.25">
      <c r="A24" s="529" t="s">
        <v>90</v>
      </c>
      <c r="B24" s="76"/>
      <c r="C24" s="531" t="s">
        <v>109</v>
      </c>
      <c r="D24" s="533" t="s">
        <v>108</v>
      </c>
      <c r="E24" s="534"/>
      <c r="F24" s="535" t="s">
        <v>91</v>
      </c>
      <c r="G24" s="535" t="s">
        <v>94</v>
      </c>
      <c r="H24" s="535" t="s">
        <v>98</v>
      </c>
      <c r="I24" s="535" t="s">
        <v>95</v>
      </c>
      <c r="J24" s="535" t="s">
        <v>96</v>
      </c>
      <c r="K24" s="535" t="s">
        <v>107</v>
      </c>
      <c r="L24" s="535" t="s">
        <v>106</v>
      </c>
      <c r="M24" s="535" t="s">
        <v>91</v>
      </c>
      <c r="N24" s="535" t="s">
        <v>94</v>
      </c>
      <c r="O24" s="535" t="s">
        <v>98</v>
      </c>
      <c r="P24" s="535" t="s">
        <v>95</v>
      </c>
      <c r="Q24" s="535" t="s">
        <v>96</v>
      </c>
      <c r="R24" s="538" t="s">
        <v>104</v>
      </c>
      <c r="T24" s="529" t="s">
        <v>105</v>
      </c>
      <c r="V24" s="529" t="s">
        <v>110</v>
      </c>
    </row>
    <row r="25" spans="1:22" s="30" customFormat="1" x14ac:dyDescent="0.25">
      <c r="A25" s="530"/>
      <c r="B25" s="76"/>
      <c r="C25" s="532"/>
      <c r="D25" s="56" t="s">
        <v>92</v>
      </c>
      <c r="E25" s="56" t="s">
        <v>93</v>
      </c>
      <c r="F25" s="536"/>
      <c r="G25" s="536"/>
      <c r="H25" s="536"/>
      <c r="I25" s="536"/>
      <c r="J25" s="536"/>
      <c r="K25" s="536"/>
      <c r="L25" s="536"/>
      <c r="M25" s="536"/>
      <c r="N25" s="536"/>
      <c r="O25" s="536"/>
      <c r="P25" s="536"/>
      <c r="Q25" s="536"/>
      <c r="R25" s="539"/>
      <c r="T25" s="530"/>
      <c r="V25" s="530"/>
    </row>
    <row r="26" spans="1:22" x14ac:dyDescent="0.25">
      <c r="A26" s="171" t="s">
        <v>0</v>
      </c>
      <c r="B26" s="174"/>
      <c r="C26" s="176">
        <v>3.7092858511232972E-2</v>
      </c>
      <c r="D26" s="168">
        <v>1.8155757286192068E-2</v>
      </c>
      <c r="E26" s="168">
        <v>0.11921989535735859</v>
      </c>
      <c r="F26" s="169">
        <v>1.0960368964652146E-2</v>
      </c>
      <c r="G26" s="169">
        <v>3.7542662116040959E-2</v>
      </c>
      <c r="H26" s="169">
        <v>1.9736842105263157E-2</v>
      </c>
      <c r="I26" s="169">
        <v>0</v>
      </c>
      <c r="J26" s="169">
        <v>0</v>
      </c>
      <c r="K26" s="34">
        <v>5434672.3215867477</v>
      </c>
      <c r="L26" s="34">
        <v>2540682.0580009809</v>
      </c>
      <c r="M26" s="34">
        <v>118952.74451906176</v>
      </c>
      <c r="N26" s="34">
        <v>407450.03290102392</v>
      </c>
      <c r="O26" s="34">
        <v>160652.77164473681</v>
      </c>
      <c r="P26" s="34">
        <v>0</v>
      </c>
      <c r="Q26" s="34">
        <v>0</v>
      </c>
      <c r="R26" s="177">
        <f>SUM(K26:Q26)</f>
        <v>8662409.928652551</v>
      </c>
      <c r="T26" s="181">
        <v>0</v>
      </c>
      <c r="V26" s="228">
        <f>R26+T26</f>
        <v>8662409.928652551</v>
      </c>
    </row>
    <row r="27" spans="1:22" x14ac:dyDescent="0.25">
      <c r="A27" s="171" t="s">
        <v>1</v>
      </c>
      <c r="B27" s="174"/>
      <c r="C27" s="176">
        <v>8.0557460024663158E-2</v>
      </c>
      <c r="D27" s="168">
        <v>0</v>
      </c>
      <c r="E27" s="168">
        <v>0.2029352709075404</v>
      </c>
      <c r="F27" s="169">
        <v>3.5403992302533015E-2</v>
      </c>
      <c r="G27" s="169">
        <v>8.5324232081911269E-2</v>
      </c>
      <c r="H27" s="169">
        <v>0.11842105263157894</v>
      </c>
      <c r="I27" s="169">
        <v>0</v>
      </c>
      <c r="J27" s="169">
        <v>0.29650356152718682</v>
      </c>
      <c r="K27" s="34">
        <v>11802902.657415472</v>
      </c>
      <c r="L27" s="34">
        <v>5439748.1811044374</v>
      </c>
      <c r="M27" s="34">
        <v>384239.07670444902</v>
      </c>
      <c r="N27" s="34">
        <v>926022.80204778165</v>
      </c>
      <c r="O27" s="34">
        <v>963916.62986842101</v>
      </c>
      <c r="P27" s="34">
        <v>0</v>
      </c>
      <c r="Q27" s="34">
        <v>402243.67123363918</v>
      </c>
      <c r="R27" s="177">
        <f t="shared" ref="R27:R33" si="1">SUM(K27:Q27)</f>
        <v>19919073.018374201</v>
      </c>
      <c r="T27" s="181">
        <v>0</v>
      </c>
      <c r="V27" s="228">
        <f t="shared" ref="V27:V33" si="2">R27+T27</f>
        <v>19919073.018374201</v>
      </c>
    </row>
    <row r="28" spans="1:22" x14ac:dyDescent="0.25">
      <c r="A28" s="171" t="s">
        <v>2</v>
      </c>
      <c r="B28" s="174"/>
      <c r="C28" s="176">
        <v>0.27677798705763118</v>
      </c>
      <c r="D28" s="168">
        <v>0.19254658385093168</v>
      </c>
      <c r="E28" s="168">
        <v>6.7224281031580263E-2</v>
      </c>
      <c r="F28" s="169">
        <v>0.26615787058873813</v>
      </c>
      <c r="G28" s="169">
        <v>0.20819112627986347</v>
      </c>
      <c r="H28" s="169">
        <v>0.22368421052631579</v>
      </c>
      <c r="I28" s="169">
        <v>0</v>
      </c>
      <c r="J28" s="169">
        <v>0</v>
      </c>
      <c r="K28" s="34">
        <v>40552217.484966315</v>
      </c>
      <c r="L28" s="34">
        <v>8552311.0594018176</v>
      </c>
      <c r="M28" s="34">
        <v>2888607.9733251464</v>
      </c>
      <c r="N28" s="34">
        <v>2259495.6369965868</v>
      </c>
      <c r="O28" s="34">
        <v>1820731.4119736841</v>
      </c>
      <c r="P28" s="34">
        <v>0</v>
      </c>
      <c r="Q28" s="34">
        <v>0</v>
      </c>
      <c r="R28" s="177">
        <f t="shared" si="1"/>
        <v>56073363.566663556</v>
      </c>
      <c r="T28" s="181">
        <v>14732067</v>
      </c>
      <c r="V28" s="228">
        <f t="shared" si="2"/>
        <v>70805430.566663563</v>
      </c>
    </row>
    <row r="29" spans="1:22" x14ac:dyDescent="0.25">
      <c r="A29" s="171" t="s">
        <v>3</v>
      </c>
      <c r="B29" s="174"/>
      <c r="C29" s="176">
        <v>4.8972454307563806E-2</v>
      </c>
      <c r="D29" s="168">
        <v>7.16674629718108E-3</v>
      </c>
      <c r="E29" s="168">
        <v>0.16845521127045054</v>
      </c>
      <c r="F29" s="169">
        <v>1.4744952030836884E-2</v>
      </c>
      <c r="G29" s="169">
        <v>3.0716723549488054E-2</v>
      </c>
      <c r="H29" s="169">
        <v>1.3157894736842105E-2</v>
      </c>
      <c r="I29" s="169">
        <v>0</v>
      </c>
      <c r="J29" s="169">
        <v>0.57185084407337894</v>
      </c>
      <c r="K29" s="34">
        <v>7175215.1931048864</v>
      </c>
      <c r="L29" s="34">
        <v>3460542.8437152514</v>
      </c>
      <c r="M29" s="34">
        <v>160026.77624508479</v>
      </c>
      <c r="N29" s="34">
        <v>333368.20873720135</v>
      </c>
      <c r="O29" s="34">
        <v>107101.84776315789</v>
      </c>
      <c r="P29" s="34">
        <v>0</v>
      </c>
      <c r="Q29" s="34">
        <v>775786.23923895147</v>
      </c>
      <c r="R29" s="177">
        <f t="shared" si="1"/>
        <v>12012041.108804535</v>
      </c>
      <c r="T29" s="181">
        <v>0</v>
      </c>
      <c r="V29" s="228">
        <f t="shared" si="2"/>
        <v>12012041.108804535</v>
      </c>
    </row>
    <row r="30" spans="1:22" x14ac:dyDescent="0.25">
      <c r="A30" s="171" t="s">
        <v>4</v>
      </c>
      <c r="B30" s="174"/>
      <c r="C30" s="176">
        <v>0.38902568417387584</v>
      </c>
      <c r="D30" s="168">
        <v>0.71333014811275686</v>
      </c>
      <c r="E30" s="168">
        <v>8.8212143419374098E-2</v>
      </c>
      <c r="F30" s="169">
        <v>0.53013733083523074</v>
      </c>
      <c r="G30" s="169">
        <v>0.38566552901023893</v>
      </c>
      <c r="H30" s="169">
        <v>0.34868421052631576</v>
      </c>
      <c r="I30" s="169">
        <v>1</v>
      </c>
      <c r="J30" s="169">
        <v>0</v>
      </c>
      <c r="K30" s="34">
        <v>56998225.616013154</v>
      </c>
      <c r="L30" s="34">
        <v>25965860.809419371</v>
      </c>
      <c r="M30" s="34">
        <v>5753573.6870024176</v>
      </c>
      <c r="N30" s="34">
        <v>4185623.065255973</v>
      </c>
      <c r="O30" s="34">
        <v>2838198.9657236841</v>
      </c>
      <c r="P30" s="34">
        <v>5426493.6200000001</v>
      </c>
      <c r="Q30" s="34">
        <v>0</v>
      </c>
      <c r="R30" s="177">
        <f t="shared" si="1"/>
        <v>101167975.76341461</v>
      </c>
      <c r="T30" s="181">
        <v>2904037</v>
      </c>
      <c r="V30" s="228">
        <f t="shared" si="2"/>
        <v>104072012.76341461</v>
      </c>
    </row>
    <row r="31" spans="1:22" x14ac:dyDescent="0.25">
      <c r="A31" s="171" t="s">
        <v>5</v>
      </c>
      <c r="B31" s="174"/>
      <c r="C31" s="176">
        <v>4.7697064121967274E-2</v>
      </c>
      <c r="D31" s="168">
        <v>0</v>
      </c>
      <c r="E31" s="168">
        <v>0.15638324531055409</v>
      </c>
      <c r="F31" s="169">
        <v>1.8312792050995595E-2</v>
      </c>
      <c r="G31" s="169">
        <v>5.8020477815699661E-2</v>
      </c>
      <c r="H31" s="169">
        <v>0.14473684210526316</v>
      </c>
      <c r="I31" s="169">
        <v>0</v>
      </c>
      <c r="J31" s="169">
        <v>0.13164559439943424</v>
      </c>
      <c r="K31" s="34">
        <v>6988350.9820658313</v>
      </c>
      <c r="L31" s="34">
        <v>3414893.4844207289</v>
      </c>
      <c r="M31" s="34">
        <v>198748.49845822863</v>
      </c>
      <c r="N31" s="34">
        <v>629695.50539249147</v>
      </c>
      <c r="O31" s="34">
        <v>1178120.3253947368</v>
      </c>
      <c r="P31" s="34">
        <v>0</v>
      </c>
      <c r="Q31" s="34">
        <v>178593.49452740941</v>
      </c>
      <c r="R31" s="177">
        <f t="shared" si="1"/>
        <v>12588402.290259426</v>
      </c>
      <c r="T31" s="181">
        <v>0</v>
      </c>
      <c r="V31" s="228">
        <f t="shared" si="2"/>
        <v>12588402.290259426</v>
      </c>
    </row>
    <row r="32" spans="1:22" x14ac:dyDescent="0.25">
      <c r="A32" s="171" t="s">
        <v>6</v>
      </c>
      <c r="B32" s="174"/>
      <c r="C32" s="176">
        <v>2.9674274647024577E-2</v>
      </c>
      <c r="D32" s="168">
        <v>1.7677974199713332E-2</v>
      </c>
      <c r="E32" s="168">
        <v>9.7522548538771361E-2</v>
      </c>
      <c r="F32" s="169">
        <v>3.9154930805892461E-2</v>
      </c>
      <c r="G32" s="169">
        <v>6.4846416382252553E-2</v>
      </c>
      <c r="H32" s="169">
        <v>1.9736842105263157E-2</v>
      </c>
      <c r="I32" s="169">
        <v>0</v>
      </c>
      <c r="J32" s="169">
        <v>0</v>
      </c>
      <c r="K32" s="34">
        <v>4347736.0753555791</v>
      </c>
      <c r="L32" s="34">
        <v>1986316.3065760834</v>
      </c>
      <c r="M32" s="34">
        <v>424947.96441943379</v>
      </c>
      <c r="N32" s="34">
        <v>703777.32955631393</v>
      </c>
      <c r="O32" s="34">
        <v>160652.77164473681</v>
      </c>
      <c r="P32" s="34">
        <v>0</v>
      </c>
      <c r="Q32" s="34">
        <v>0</v>
      </c>
      <c r="R32" s="177">
        <f t="shared" si="1"/>
        <v>7623430.4475521473</v>
      </c>
      <c r="T32" s="181">
        <v>0</v>
      </c>
      <c r="V32" s="228">
        <f t="shared" si="2"/>
        <v>7623430.4475521473</v>
      </c>
    </row>
    <row r="33" spans="1:22" x14ac:dyDescent="0.25">
      <c r="A33" s="171" t="s">
        <v>7</v>
      </c>
      <c r="B33" s="174"/>
      <c r="C33" s="176">
        <v>9.0202217156041209E-2</v>
      </c>
      <c r="D33" s="168">
        <v>5.1122790253225033E-2</v>
      </c>
      <c r="E33" s="168">
        <v>0.10004740416437062</v>
      </c>
      <c r="F33" s="169">
        <v>8.5127762421120912E-2</v>
      </c>
      <c r="G33" s="169">
        <v>0.12969283276450511</v>
      </c>
      <c r="H33" s="169">
        <v>0.1118421052631579</v>
      </c>
      <c r="I33" s="169">
        <v>0</v>
      </c>
      <c r="J33" s="169">
        <v>0</v>
      </c>
      <c r="K33" s="34">
        <v>13216007.409492029</v>
      </c>
      <c r="L33" s="34">
        <v>2904581.4573613279</v>
      </c>
      <c r="M33" s="34">
        <v>923890.51932617673</v>
      </c>
      <c r="N33" s="34">
        <v>1407554.6591126279</v>
      </c>
      <c r="O33" s="34">
        <v>910365.70598684205</v>
      </c>
      <c r="P33" s="34">
        <v>0</v>
      </c>
      <c r="Q33" s="34">
        <v>0</v>
      </c>
      <c r="R33" s="177">
        <f t="shared" si="1"/>
        <v>19362399.751279004</v>
      </c>
      <c r="T33" s="181">
        <v>0</v>
      </c>
      <c r="V33" s="228">
        <f t="shared" si="2"/>
        <v>19362399.751279004</v>
      </c>
    </row>
    <row r="34" spans="1:22" s="9" customFormat="1" ht="15.75" thickBot="1" x14ac:dyDescent="0.3">
      <c r="A34" s="172" t="s">
        <v>97</v>
      </c>
      <c r="B34" s="175"/>
      <c r="C34" s="178">
        <f t="shared" ref="C34:L34" si="3">SUM(C26:C33)</f>
        <v>1</v>
      </c>
      <c r="D34" s="179">
        <f t="shared" si="3"/>
        <v>1</v>
      </c>
      <c r="E34" s="179">
        <f t="shared" si="3"/>
        <v>1</v>
      </c>
      <c r="F34" s="179">
        <f t="shared" si="3"/>
        <v>0.99999999999999978</v>
      </c>
      <c r="G34" s="179">
        <f t="shared" si="3"/>
        <v>1</v>
      </c>
      <c r="H34" s="179">
        <f>SUM(H26:H33)</f>
        <v>0.99999999999999989</v>
      </c>
      <c r="I34" s="179">
        <f>SUM(I26:I33)</f>
        <v>1</v>
      </c>
      <c r="J34" s="179">
        <f>SUM(J26:J33)</f>
        <v>1</v>
      </c>
      <c r="K34" s="143">
        <f t="shared" si="3"/>
        <v>146515327.74000001</v>
      </c>
      <c r="L34" s="143">
        <f t="shared" si="3"/>
        <v>54264936.199999996</v>
      </c>
      <c r="M34" s="143">
        <f t="shared" ref="M34:R34" si="4">SUM(M26:M33)</f>
        <v>10852987.239999998</v>
      </c>
      <c r="N34" s="143">
        <f t="shared" si="4"/>
        <v>10852987.240000002</v>
      </c>
      <c r="O34" s="143">
        <f t="shared" si="4"/>
        <v>8139740.4299999997</v>
      </c>
      <c r="P34" s="143">
        <f t="shared" si="4"/>
        <v>5426493.6200000001</v>
      </c>
      <c r="Q34" s="143">
        <f t="shared" si="4"/>
        <v>1356623.405</v>
      </c>
      <c r="R34" s="180">
        <f t="shared" si="4"/>
        <v>237409095.875</v>
      </c>
      <c r="T34" s="182">
        <f>SUM(T26:T33)</f>
        <v>17636104</v>
      </c>
      <c r="V34" s="182">
        <f>SUM(V26:V33)</f>
        <v>255045199.87500003</v>
      </c>
    </row>
    <row r="35" spans="1:22" ht="5.0999999999999996" customHeight="1" thickBot="1" x14ac:dyDescent="0.3">
      <c r="D35" s="17"/>
    </row>
    <row r="36" spans="1:22" x14ac:dyDescent="0.25">
      <c r="A36" s="186" t="s">
        <v>111</v>
      </c>
      <c r="B36" s="174"/>
      <c r="C36" s="191" t="s">
        <v>11</v>
      </c>
      <c r="D36" s="187" t="s">
        <v>11</v>
      </c>
      <c r="E36" s="187" t="s">
        <v>11</v>
      </c>
      <c r="F36" s="187" t="s">
        <v>11</v>
      </c>
      <c r="G36" s="187" t="s">
        <v>11</v>
      </c>
      <c r="H36" s="187" t="s">
        <v>11</v>
      </c>
      <c r="I36" s="187" t="s">
        <v>11</v>
      </c>
      <c r="J36" s="187" t="s">
        <v>11</v>
      </c>
      <c r="K36" s="187" t="s">
        <v>11</v>
      </c>
      <c r="L36" s="187" t="s">
        <v>11</v>
      </c>
      <c r="M36" s="187" t="s">
        <v>11</v>
      </c>
      <c r="N36" s="187" t="s">
        <v>11</v>
      </c>
      <c r="O36" s="187" t="s">
        <v>11</v>
      </c>
      <c r="P36" s="187" t="s">
        <v>11</v>
      </c>
      <c r="Q36" s="187" t="s">
        <v>11</v>
      </c>
      <c r="R36" s="192" t="s">
        <v>11</v>
      </c>
      <c r="S36" s="174"/>
      <c r="T36" s="197" t="s">
        <v>11</v>
      </c>
      <c r="U36" s="174"/>
      <c r="V36" s="201">
        <f>G11</f>
        <v>9496363.8350000009</v>
      </c>
    </row>
    <row r="37" spans="1:22" x14ac:dyDescent="0.25">
      <c r="A37" s="188" t="s">
        <v>80</v>
      </c>
      <c r="B37" s="174"/>
      <c r="C37" s="193" t="s">
        <v>11</v>
      </c>
      <c r="D37" s="16" t="s">
        <v>11</v>
      </c>
      <c r="E37" s="16" t="s">
        <v>11</v>
      </c>
      <c r="F37" s="16" t="s">
        <v>11</v>
      </c>
      <c r="G37" s="16" t="s">
        <v>11</v>
      </c>
      <c r="H37" s="16" t="s">
        <v>11</v>
      </c>
      <c r="I37" s="16" t="s">
        <v>11</v>
      </c>
      <c r="J37" s="16" t="s">
        <v>11</v>
      </c>
      <c r="K37" s="16" t="s">
        <v>11</v>
      </c>
      <c r="L37" s="16" t="s">
        <v>11</v>
      </c>
      <c r="M37" s="16" t="s">
        <v>11</v>
      </c>
      <c r="N37" s="16" t="s">
        <v>11</v>
      </c>
      <c r="O37" s="16" t="s">
        <v>11</v>
      </c>
      <c r="P37" s="16" t="s">
        <v>11</v>
      </c>
      <c r="Q37" s="16" t="s">
        <v>11</v>
      </c>
      <c r="R37" s="194" t="s">
        <v>11</v>
      </c>
      <c r="S37" s="174"/>
      <c r="T37" s="198" t="s">
        <v>11</v>
      </c>
      <c r="U37" s="174"/>
      <c r="V37" s="202">
        <f>G13</f>
        <v>1356623.405</v>
      </c>
    </row>
    <row r="38" spans="1:22" ht="15.75" thickBot="1" x14ac:dyDescent="0.3">
      <c r="A38" s="189" t="s">
        <v>112</v>
      </c>
      <c r="B38" s="174"/>
      <c r="C38" s="195" t="s">
        <v>11</v>
      </c>
      <c r="D38" s="190" t="s">
        <v>11</v>
      </c>
      <c r="E38" s="190" t="s">
        <v>11</v>
      </c>
      <c r="F38" s="190" t="s">
        <v>11</v>
      </c>
      <c r="G38" s="190" t="s">
        <v>11</v>
      </c>
      <c r="H38" s="190" t="s">
        <v>11</v>
      </c>
      <c r="I38" s="190" t="s">
        <v>11</v>
      </c>
      <c r="J38" s="190" t="s">
        <v>11</v>
      </c>
      <c r="K38" s="190" t="s">
        <v>11</v>
      </c>
      <c r="L38" s="190" t="s">
        <v>11</v>
      </c>
      <c r="M38" s="190" t="s">
        <v>11</v>
      </c>
      <c r="N38" s="190" t="s">
        <v>11</v>
      </c>
      <c r="O38" s="190" t="s">
        <v>11</v>
      </c>
      <c r="P38" s="190" t="s">
        <v>11</v>
      </c>
      <c r="Q38" s="190" t="s">
        <v>11</v>
      </c>
      <c r="R38" s="196" t="s">
        <v>11</v>
      </c>
      <c r="S38" s="174"/>
      <c r="T38" s="199" t="s">
        <v>11</v>
      </c>
      <c r="U38" s="174"/>
      <c r="V38" s="203">
        <f>G12</f>
        <v>5426493.6200000001</v>
      </c>
    </row>
    <row r="39" spans="1:22" ht="5.0999999999999996" customHeight="1" thickBot="1" x14ac:dyDescent="0.3">
      <c r="A39" s="183"/>
      <c r="B39" s="183"/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84"/>
      <c r="N39" s="184"/>
      <c r="O39" s="184"/>
      <c r="P39" s="184"/>
      <c r="Q39" s="184"/>
      <c r="R39" s="184"/>
      <c r="S39" s="183"/>
      <c r="T39" s="184"/>
      <c r="U39" s="183"/>
      <c r="V39" s="185"/>
    </row>
    <row r="40" spans="1:22" s="9" customFormat="1" ht="15.75" thickBot="1" x14ac:dyDescent="0.3">
      <c r="A40" s="200" t="s">
        <v>113</v>
      </c>
      <c r="B40" s="175"/>
      <c r="C40" s="205" t="s">
        <v>11</v>
      </c>
      <c r="D40" s="206" t="s">
        <v>11</v>
      </c>
      <c r="E40" s="206" t="s">
        <v>11</v>
      </c>
      <c r="F40" s="206" t="s">
        <v>11</v>
      </c>
      <c r="G40" s="206" t="s">
        <v>11</v>
      </c>
      <c r="H40" s="206" t="s">
        <v>11</v>
      </c>
      <c r="I40" s="206" t="s">
        <v>11</v>
      </c>
      <c r="J40" s="206" t="s">
        <v>11</v>
      </c>
      <c r="K40" s="207">
        <f>K34</f>
        <v>146515327.74000001</v>
      </c>
      <c r="L40" s="207">
        <f t="shared" ref="L40:Q40" si="5">L34</f>
        <v>54264936.199999996</v>
      </c>
      <c r="M40" s="207">
        <f t="shared" si="5"/>
        <v>10852987.239999998</v>
      </c>
      <c r="N40" s="207">
        <f t="shared" si="5"/>
        <v>10852987.240000002</v>
      </c>
      <c r="O40" s="207">
        <f t="shared" si="5"/>
        <v>8139740.4299999997</v>
      </c>
      <c r="P40" s="207">
        <f t="shared" si="5"/>
        <v>5426493.6200000001</v>
      </c>
      <c r="Q40" s="207">
        <f t="shared" si="5"/>
        <v>1356623.405</v>
      </c>
      <c r="R40" s="208">
        <f>R34</f>
        <v>237409095.875</v>
      </c>
      <c r="S40" s="175"/>
      <c r="T40" s="209">
        <f>T34</f>
        <v>17636104</v>
      </c>
      <c r="U40" s="175"/>
      <c r="V40" s="204">
        <f>V34+V36+V37+V38</f>
        <v>271324680.73500001</v>
      </c>
    </row>
    <row r="41" spans="1:22" s="9" customFormat="1" ht="5.0999999999999996" customHeight="1" x14ac:dyDescent="0.25">
      <c r="A41" s="212"/>
      <c r="B41" s="132"/>
      <c r="C41" s="213"/>
      <c r="D41" s="213"/>
      <c r="E41" s="213"/>
      <c r="F41" s="213"/>
      <c r="G41" s="213"/>
      <c r="H41" s="213"/>
      <c r="I41" s="213"/>
      <c r="J41" s="213"/>
      <c r="K41" s="214"/>
      <c r="L41" s="214"/>
      <c r="M41" s="214"/>
      <c r="N41" s="214"/>
      <c r="O41" s="214"/>
      <c r="P41" s="214"/>
      <c r="Q41" s="214"/>
      <c r="R41" s="214"/>
      <c r="S41" s="132"/>
      <c r="T41" s="214"/>
      <c r="U41" s="132"/>
      <c r="V41" s="33"/>
    </row>
    <row r="42" spans="1:22" ht="15.75" thickBot="1" x14ac:dyDescent="0.3">
      <c r="A42" s="11" t="s">
        <v>28</v>
      </c>
      <c r="B42" s="20"/>
    </row>
    <row r="43" spans="1:22" ht="30" x14ac:dyDescent="0.25">
      <c r="A43" s="55" t="s">
        <v>90</v>
      </c>
      <c r="B43" s="174"/>
      <c r="C43" s="65" t="s">
        <v>114</v>
      </c>
      <c r="D43" s="67" t="s">
        <v>115</v>
      </c>
      <c r="E43" s="68" t="s">
        <v>116</v>
      </c>
      <c r="F43" s="537" t="s">
        <v>76</v>
      </c>
      <c r="G43" s="492"/>
    </row>
    <row r="44" spans="1:22" x14ac:dyDescent="0.25">
      <c r="A44" s="171" t="s">
        <v>0</v>
      </c>
      <c r="B44" s="216" t="s">
        <v>14</v>
      </c>
      <c r="C44" s="150">
        <v>8852844</v>
      </c>
      <c r="D44" s="14">
        <v>8539741</v>
      </c>
      <c r="E44" s="139">
        <f>V26</f>
        <v>8662409.928652551</v>
      </c>
      <c r="F44" s="159">
        <f>E44-D44</f>
        <v>122668.92865255103</v>
      </c>
      <c r="G44" s="225">
        <f>F44/D44</f>
        <v>1.436447881177556E-2</v>
      </c>
    </row>
    <row r="45" spans="1:22" x14ac:dyDescent="0.25">
      <c r="A45" s="171" t="s">
        <v>1</v>
      </c>
      <c r="B45" s="216" t="s">
        <v>15</v>
      </c>
      <c r="C45" s="150">
        <v>18171550</v>
      </c>
      <c r="D45" s="14">
        <v>18546423</v>
      </c>
      <c r="E45" s="139">
        <f t="shared" ref="E45:E51" si="6">V27</f>
        <v>19919073.018374201</v>
      </c>
      <c r="F45" s="159">
        <f t="shared" ref="F45:F52" si="7">E45-D45</f>
        <v>1372650.0183742009</v>
      </c>
      <c r="G45" s="225">
        <f t="shared" ref="G45:G52" si="8">F45/D45</f>
        <v>7.4011577239136678E-2</v>
      </c>
    </row>
    <row r="46" spans="1:22" x14ac:dyDescent="0.25">
      <c r="A46" s="171" t="s">
        <v>2</v>
      </c>
      <c r="B46" s="216" t="s">
        <v>16</v>
      </c>
      <c r="C46" s="150">
        <v>51821464</v>
      </c>
      <c r="D46" s="14">
        <v>63721493</v>
      </c>
      <c r="E46" s="139">
        <f t="shared" si="6"/>
        <v>70805430.566663563</v>
      </c>
      <c r="F46" s="159">
        <f t="shared" si="7"/>
        <v>7083937.5666635633</v>
      </c>
      <c r="G46" s="225">
        <f t="shared" si="8"/>
        <v>0.11117030115197651</v>
      </c>
    </row>
    <row r="47" spans="1:22" x14ac:dyDescent="0.25">
      <c r="A47" s="171" t="s">
        <v>3</v>
      </c>
      <c r="B47" s="216" t="s">
        <v>17</v>
      </c>
      <c r="C47" s="150">
        <v>11586620</v>
      </c>
      <c r="D47" s="14">
        <v>11274733</v>
      </c>
      <c r="E47" s="139">
        <f t="shared" si="6"/>
        <v>12012041.108804535</v>
      </c>
      <c r="F47" s="159">
        <f t="shared" si="7"/>
        <v>737308.10880453512</v>
      </c>
      <c r="G47" s="225">
        <f t="shared" si="8"/>
        <v>6.539472897535889E-2</v>
      </c>
    </row>
    <row r="48" spans="1:22" x14ac:dyDescent="0.25">
      <c r="A48" s="171" t="s">
        <v>4</v>
      </c>
      <c r="B48" s="216" t="s">
        <v>77</v>
      </c>
      <c r="C48" s="150">
        <v>92992436</v>
      </c>
      <c r="D48" s="14">
        <v>89563833</v>
      </c>
      <c r="E48" s="139">
        <f t="shared" si="6"/>
        <v>104072012.76341461</v>
      </c>
      <c r="F48" s="159">
        <f t="shared" si="7"/>
        <v>14508179.763414606</v>
      </c>
      <c r="G48" s="225">
        <f t="shared" si="8"/>
        <v>0.1619870351396708</v>
      </c>
    </row>
    <row r="49" spans="1:7" x14ac:dyDescent="0.25">
      <c r="A49" s="171" t="s">
        <v>5</v>
      </c>
      <c r="B49" s="216" t="s">
        <v>18</v>
      </c>
      <c r="C49" s="150">
        <v>10667823</v>
      </c>
      <c r="D49" s="14">
        <v>10981105</v>
      </c>
      <c r="E49" s="139">
        <f t="shared" si="6"/>
        <v>12588402.290259426</v>
      </c>
      <c r="F49" s="159">
        <f t="shared" si="7"/>
        <v>1607297.2902594265</v>
      </c>
      <c r="G49" s="225">
        <f t="shared" si="8"/>
        <v>0.1463693581164579</v>
      </c>
    </row>
    <row r="50" spans="1:7" x14ac:dyDescent="0.25">
      <c r="A50" s="171" t="s">
        <v>6</v>
      </c>
      <c r="B50" s="216" t="s">
        <v>20</v>
      </c>
      <c r="C50" s="150">
        <v>6423662</v>
      </c>
      <c r="D50" s="14">
        <v>6831790</v>
      </c>
      <c r="E50" s="139">
        <f t="shared" si="6"/>
        <v>7623430.4475521473</v>
      </c>
      <c r="F50" s="159">
        <f t="shared" si="7"/>
        <v>791640.44755214732</v>
      </c>
      <c r="G50" s="225">
        <f t="shared" si="8"/>
        <v>0.11587599260986467</v>
      </c>
    </row>
    <row r="51" spans="1:7" x14ac:dyDescent="0.25">
      <c r="A51" s="171" t="s">
        <v>7</v>
      </c>
      <c r="B51" s="217" t="s">
        <v>19</v>
      </c>
      <c r="C51" s="150">
        <v>21597839</v>
      </c>
      <c r="D51" s="14">
        <v>20766897</v>
      </c>
      <c r="E51" s="139">
        <f t="shared" si="6"/>
        <v>19362399.751279004</v>
      </c>
      <c r="F51" s="159">
        <f t="shared" si="7"/>
        <v>-1404497.2487209961</v>
      </c>
      <c r="G51" s="225">
        <f t="shared" si="8"/>
        <v>-6.763154113592397E-2</v>
      </c>
    </row>
    <row r="52" spans="1:7" ht="15.75" thickBot="1" x14ac:dyDescent="0.3">
      <c r="A52" s="172" t="s">
        <v>10</v>
      </c>
      <c r="B52" s="215"/>
      <c r="C52" s="158">
        <f t="shared" ref="C52" si="9">SUM(C44:C51)</f>
        <v>222114238</v>
      </c>
      <c r="D52" s="143">
        <f t="shared" ref="D52:E52" si="10">SUM(D44:D51)</f>
        <v>230226015</v>
      </c>
      <c r="E52" s="180">
        <f t="shared" si="10"/>
        <v>255045199.87500003</v>
      </c>
      <c r="F52" s="226">
        <f t="shared" si="7"/>
        <v>24819184.87500003</v>
      </c>
      <c r="G52" s="227">
        <f t="shared" si="8"/>
        <v>0.10780356370673413</v>
      </c>
    </row>
    <row r="56" spans="1:7" x14ac:dyDescent="0.25">
      <c r="D56" s="15"/>
    </row>
  </sheetData>
  <mergeCells count="37">
    <mergeCell ref="T24:T25"/>
    <mergeCell ref="V24:V25"/>
    <mergeCell ref="F43:G43"/>
    <mergeCell ref="N24:N25"/>
    <mergeCell ref="O24:O25"/>
    <mergeCell ref="P24:P25"/>
    <mergeCell ref="Q24:Q25"/>
    <mergeCell ref="R24:R25"/>
    <mergeCell ref="I24:I25"/>
    <mergeCell ref="J24:J25"/>
    <mergeCell ref="K24:K25"/>
    <mergeCell ref="L24:L25"/>
    <mergeCell ref="M24:M25"/>
    <mergeCell ref="G20:H20"/>
    <mergeCell ref="G21:H21"/>
    <mergeCell ref="G22:H22"/>
    <mergeCell ref="A24:A25"/>
    <mergeCell ref="C24:C25"/>
    <mergeCell ref="D24:E24"/>
    <mergeCell ref="F24:F25"/>
    <mergeCell ref="G24:G25"/>
    <mergeCell ref="H24:H25"/>
    <mergeCell ref="G16:H16"/>
    <mergeCell ref="G17:H17"/>
    <mergeCell ref="G6:H6"/>
    <mergeCell ref="G18:H18"/>
    <mergeCell ref="G19:H19"/>
    <mergeCell ref="G11:H11"/>
    <mergeCell ref="G12:H12"/>
    <mergeCell ref="G13:H13"/>
    <mergeCell ref="G14:H14"/>
    <mergeCell ref="G15:H15"/>
    <mergeCell ref="G3:H3"/>
    <mergeCell ref="G4:H4"/>
    <mergeCell ref="G10:H10"/>
    <mergeCell ref="G5:H5"/>
    <mergeCell ref="G7:H7"/>
  </mergeCells>
  <pageMargins left="0.7" right="0.7" top="0.78740157499999996" bottom="0.78740157499999996" header="0.3" footer="0.3"/>
  <pageSetup paperSize="9" scale="46" orientation="landscape" r:id="rId1"/>
  <ignoredErrors>
    <ignoredError sqref="R26 R27:R33" formulaRange="1"/>
  </ignoredErrors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H63"/>
  <sheetViews>
    <sheetView topLeftCell="A4" zoomScaleNormal="100" zoomScaleSheetLayoutView="100" workbookViewId="0">
      <selection activeCell="G36" sqref="G36"/>
    </sheetView>
  </sheetViews>
  <sheetFormatPr defaultColWidth="9.140625" defaultRowHeight="15" x14ac:dyDescent="0.25"/>
  <cols>
    <col min="1" max="1" width="30.85546875" style="5" customWidth="1"/>
    <col min="2" max="2" width="0.85546875" style="5" customWidth="1"/>
    <col min="3" max="3" width="17.5703125" style="5" customWidth="1"/>
    <col min="4" max="7" width="15.7109375" style="5" customWidth="1"/>
    <col min="8" max="8" width="12.85546875" style="5" customWidth="1"/>
    <col min="9" max="9" width="9.85546875" style="5" bestFit="1" customWidth="1"/>
    <col min="10" max="16384" width="9.140625" style="5"/>
  </cols>
  <sheetData>
    <row r="1" spans="1:9" s="2" customFormat="1" ht="15.75" x14ac:dyDescent="0.25">
      <c r="A1" s="24" t="s">
        <v>117</v>
      </c>
      <c r="B1" s="24"/>
    </row>
    <row r="2" spans="1:9" ht="5.0999999999999996" customHeight="1" thickBot="1" x14ac:dyDescent="0.3"/>
    <row r="3" spans="1:9" s="31" customFormat="1" ht="45" x14ac:dyDescent="0.25">
      <c r="A3" s="241" t="s">
        <v>38</v>
      </c>
      <c r="B3" s="154"/>
      <c r="C3" s="118" t="s">
        <v>118</v>
      </c>
      <c r="D3" s="137" t="s">
        <v>119</v>
      </c>
      <c r="E3" s="137" t="s">
        <v>120</v>
      </c>
      <c r="F3" s="67" t="s">
        <v>121</v>
      </c>
      <c r="G3" s="68" t="s">
        <v>122</v>
      </c>
    </row>
    <row r="4" spans="1:9" customFormat="1" x14ac:dyDescent="0.25">
      <c r="A4" s="242" t="s">
        <v>0</v>
      </c>
      <c r="B4" s="152"/>
      <c r="C4" s="150">
        <f>'1.1 Objemy A JU'!G13</f>
        <v>54850612.48696053</v>
      </c>
      <c r="D4" s="14">
        <f>'1.2 Objemy K JU'!O13</f>
        <v>12310877.253957041</v>
      </c>
      <c r="E4" s="14">
        <f>SUM(C4:D4)</f>
        <v>67161489.740917563</v>
      </c>
      <c r="F4" s="50">
        <f>'2 Dotace na RVO'!V26</f>
        <v>8662409.928652551</v>
      </c>
      <c r="G4" s="299">
        <f>F4+E4</f>
        <v>75823899.669570118</v>
      </c>
    </row>
    <row r="5" spans="1:9" customFormat="1" x14ac:dyDescent="0.25">
      <c r="A5" s="243" t="s">
        <v>1</v>
      </c>
      <c r="B5" s="246"/>
      <c r="C5" s="150">
        <f>'1.1 Objemy A JU'!G14</f>
        <v>31154182.018917233</v>
      </c>
      <c r="D5" s="14">
        <f>'1.2 Objemy K JU'!O14</f>
        <v>11744643.676699348</v>
      </c>
      <c r="E5" s="14">
        <f t="shared" ref="E5:E11" si="0">SUM(C5:D5)</f>
        <v>42898825.695616581</v>
      </c>
      <c r="F5" s="50">
        <f>'2 Dotace na RVO'!V27</f>
        <v>19919073.018374201</v>
      </c>
      <c r="G5" s="299">
        <f t="shared" ref="G5:G11" si="1">F5+E5</f>
        <v>62817898.713990778</v>
      </c>
    </row>
    <row r="6" spans="1:9" customFormat="1" x14ac:dyDescent="0.25">
      <c r="A6" s="242" t="s">
        <v>2</v>
      </c>
      <c r="B6" s="152"/>
      <c r="C6" s="150">
        <f>'1.1 Objemy A JU'!G15</f>
        <v>21418620.549854781</v>
      </c>
      <c r="D6" s="14">
        <f>'1.2 Objemy K JU'!O15</f>
        <v>16055039.527184278</v>
      </c>
      <c r="E6" s="14">
        <f t="shared" si="0"/>
        <v>37473660.077039063</v>
      </c>
      <c r="F6" s="50">
        <f>'2 Dotace na RVO'!V28</f>
        <v>70805430.566663563</v>
      </c>
      <c r="G6" s="299">
        <f t="shared" si="1"/>
        <v>108279090.64370263</v>
      </c>
    </row>
    <row r="7" spans="1:9" customFormat="1" x14ac:dyDescent="0.25">
      <c r="A7" s="242" t="s">
        <v>3</v>
      </c>
      <c r="B7" s="152"/>
      <c r="C7" s="150">
        <f>'1.1 Objemy A JU'!G16</f>
        <v>103789730.31960545</v>
      </c>
      <c r="D7" s="14">
        <f>'1.2 Objemy K JU'!O16</f>
        <v>13225936.858478939</v>
      </c>
      <c r="E7" s="14">
        <f t="shared" si="0"/>
        <v>117015667.17808439</v>
      </c>
      <c r="F7" s="50">
        <f>'2 Dotace na RVO'!V29</f>
        <v>12012041.108804535</v>
      </c>
      <c r="G7" s="299">
        <f t="shared" si="1"/>
        <v>129027708.28688893</v>
      </c>
    </row>
    <row r="8" spans="1:9" customFormat="1" x14ac:dyDescent="0.25">
      <c r="A8" s="242" t="s">
        <v>4</v>
      </c>
      <c r="B8" s="152"/>
      <c r="C8" s="150">
        <f>'1.1 Objemy A JU'!G17</f>
        <v>79560797.12687397</v>
      </c>
      <c r="D8" s="14">
        <f>'1.2 Objemy K JU'!O17</f>
        <v>27095100.735416912</v>
      </c>
      <c r="E8" s="14">
        <f t="shared" si="0"/>
        <v>106655897.86229089</v>
      </c>
      <c r="F8" s="50">
        <f>'2 Dotace na RVO'!V30</f>
        <v>104072012.76341461</v>
      </c>
      <c r="G8" s="299">
        <f t="shared" si="1"/>
        <v>210727910.62570548</v>
      </c>
    </row>
    <row r="9" spans="1:9" customFormat="1" x14ac:dyDescent="0.25">
      <c r="A9" s="242" t="s">
        <v>5</v>
      </c>
      <c r="B9" s="152"/>
      <c r="C9" s="150">
        <f>'1.1 Objemy A JU'!G18</f>
        <v>25159369.407773562</v>
      </c>
      <c r="D9" s="14">
        <f>'1.2 Objemy K JU'!O18</f>
        <v>6760974.5001273332</v>
      </c>
      <c r="E9" s="14">
        <f t="shared" si="0"/>
        <v>31920343.907900896</v>
      </c>
      <c r="F9" s="50">
        <f>'2 Dotace na RVO'!V31</f>
        <v>12588402.290259426</v>
      </c>
      <c r="G9" s="299">
        <f t="shared" si="1"/>
        <v>44508746.198160321</v>
      </c>
    </row>
    <row r="10" spans="1:9" customFormat="1" x14ac:dyDescent="0.25">
      <c r="A10" s="243" t="s">
        <v>6</v>
      </c>
      <c r="B10" s="246"/>
      <c r="C10" s="150">
        <f>'1.1 Objemy A JU'!G19</f>
        <v>108516538.65193851</v>
      </c>
      <c r="D10" s="14">
        <f>'1.2 Objemy K JU'!O19</f>
        <v>8715961.4374281839</v>
      </c>
      <c r="E10" s="14">
        <f t="shared" si="0"/>
        <v>117232500.0893667</v>
      </c>
      <c r="F10" s="50">
        <f>'2 Dotace na RVO'!V32</f>
        <v>7623430.4475521473</v>
      </c>
      <c r="G10" s="299">
        <f t="shared" si="1"/>
        <v>124855930.53691885</v>
      </c>
    </row>
    <row r="11" spans="1:9" customFormat="1" x14ac:dyDescent="0.25">
      <c r="A11" s="243" t="s">
        <v>7</v>
      </c>
      <c r="B11" s="246"/>
      <c r="C11" s="150">
        <f>'1.1 Objemy A JU'!G20</f>
        <v>67398820.436787099</v>
      </c>
      <c r="D11" s="14">
        <f>'1.2 Objemy K JU'!O20</f>
        <v>9593955.4107079655</v>
      </c>
      <c r="E11" s="14">
        <f t="shared" si="0"/>
        <v>76992775.847495064</v>
      </c>
      <c r="F11" s="50">
        <f>'2 Dotace na RVO'!V33</f>
        <v>19362399.751279004</v>
      </c>
      <c r="G11" s="299">
        <f t="shared" si="1"/>
        <v>96355175.598774076</v>
      </c>
    </row>
    <row r="12" spans="1:9" s="25" customFormat="1" ht="15.75" thickBot="1" x14ac:dyDescent="0.3">
      <c r="A12" s="244" t="s">
        <v>8</v>
      </c>
      <c r="B12" s="155"/>
      <c r="C12" s="245">
        <f>SUM(C4:C11)</f>
        <v>491848670.99871111</v>
      </c>
      <c r="D12" s="230">
        <f>SUM(D4:D11)</f>
        <v>105502489.39999999</v>
      </c>
      <c r="E12" s="230">
        <f>SUM(E4:E11)</f>
        <v>597351160.3987112</v>
      </c>
      <c r="F12" s="231">
        <f t="shared" ref="F12" si="2">SUM(F4:F11)</f>
        <v>255045199.87500003</v>
      </c>
      <c r="G12" s="300">
        <f>SUM(G4:G11)</f>
        <v>852396360.2737112</v>
      </c>
    </row>
    <row r="13" spans="1:9" s="6" customFormat="1" ht="15.75" thickBot="1" x14ac:dyDescent="0.3">
      <c r="A13" s="301"/>
      <c r="B13" s="301"/>
      <c r="C13" s="301"/>
      <c r="D13" s="301"/>
      <c r="E13" s="301"/>
      <c r="F13" s="301"/>
      <c r="G13" s="301"/>
    </row>
    <row r="14" spans="1:9" s="6" customFormat="1" ht="16.5" thickTop="1" thickBot="1" x14ac:dyDescent="0.3">
      <c r="A14" s="54" t="s">
        <v>123</v>
      </c>
      <c r="B14" s="54"/>
      <c r="G14"/>
    </row>
    <row r="15" spans="1:9" ht="15" customHeight="1" x14ac:dyDescent="0.25">
      <c r="A15" s="241" t="s">
        <v>38</v>
      </c>
      <c r="B15" s="154"/>
      <c r="C15" s="118" t="s">
        <v>12</v>
      </c>
      <c r="D15" s="137" t="s">
        <v>13</v>
      </c>
      <c r="E15" s="137" t="s">
        <v>78</v>
      </c>
      <c r="F15" s="540" t="s">
        <v>124</v>
      </c>
      <c r="G15" s="541"/>
    </row>
    <row r="16" spans="1:9" x14ac:dyDescent="0.25">
      <c r="A16" s="242" t="s">
        <v>0</v>
      </c>
      <c r="B16" s="152"/>
      <c r="C16" s="157">
        <v>72986482</v>
      </c>
      <c r="D16" s="50">
        <v>73671227</v>
      </c>
      <c r="E16" s="50">
        <f>G4</f>
        <v>75823899.669570118</v>
      </c>
      <c r="F16" s="233">
        <f>E16-D16</f>
        <v>2152672.6695701182</v>
      </c>
      <c r="G16" s="234">
        <f>F16/D16</f>
        <v>2.921999208144203E-2</v>
      </c>
      <c r="I16" s="21"/>
    </row>
    <row r="17" spans="1:1022" x14ac:dyDescent="0.25">
      <c r="A17" s="243" t="s">
        <v>1</v>
      </c>
      <c r="B17" s="246"/>
      <c r="C17" s="157">
        <v>58437728</v>
      </c>
      <c r="D17" s="50">
        <v>59704375</v>
      </c>
      <c r="E17" s="50">
        <f t="shared" ref="E17:E23" si="3">G5</f>
        <v>62817898.713990778</v>
      </c>
      <c r="F17" s="233">
        <f t="shared" ref="F17:F23" si="4">E17-D17</f>
        <v>3113523.7139907777</v>
      </c>
      <c r="G17" s="234">
        <f t="shared" ref="G17:G24" si="5">F17/D17</f>
        <v>5.2149004390227315E-2</v>
      </c>
    </row>
    <row r="18" spans="1:1022" x14ac:dyDescent="0.25">
      <c r="A18" s="242" t="s">
        <v>2</v>
      </c>
      <c r="B18" s="152"/>
      <c r="C18" s="157">
        <v>86666544</v>
      </c>
      <c r="D18" s="50">
        <v>98986568</v>
      </c>
      <c r="E18" s="50">
        <f t="shared" si="3"/>
        <v>108279090.64370263</v>
      </c>
      <c r="F18" s="233">
        <f t="shared" si="4"/>
        <v>9292522.6437026262</v>
      </c>
      <c r="G18" s="234">
        <f t="shared" si="5"/>
        <v>9.3876601961819975E-2</v>
      </c>
    </row>
    <row r="19" spans="1:1022" x14ac:dyDescent="0.25">
      <c r="A19" s="242" t="s">
        <v>3</v>
      </c>
      <c r="B19" s="152"/>
      <c r="C19" s="157">
        <v>122644576</v>
      </c>
      <c r="D19" s="50">
        <v>123088365</v>
      </c>
      <c r="E19" s="50">
        <f t="shared" si="3"/>
        <v>129027708.28688893</v>
      </c>
      <c r="F19" s="233">
        <f t="shared" si="4"/>
        <v>5939343.2868889272</v>
      </c>
      <c r="G19" s="234">
        <f t="shared" si="5"/>
        <v>4.8252678365570352E-2</v>
      </c>
    </row>
    <row r="20" spans="1:1022" x14ac:dyDescent="0.25">
      <c r="A20" s="242" t="s">
        <v>4</v>
      </c>
      <c r="B20" s="152"/>
      <c r="C20" s="157">
        <v>194889640</v>
      </c>
      <c r="D20" s="50">
        <v>189693042</v>
      </c>
      <c r="E20" s="50">
        <f t="shared" si="3"/>
        <v>210727910.62570548</v>
      </c>
      <c r="F20" s="233">
        <f t="shared" si="4"/>
        <v>21034868.625705481</v>
      </c>
      <c r="G20" s="234">
        <f t="shared" si="5"/>
        <v>0.11088898361230076</v>
      </c>
    </row>
    <row r="21" spans="1:1022" x14ac:dyDescent="0.25">
      <c r="A21" s="242" t="s">
        <v>5</v>
      </c>
      <c r="B21" s="152"/>
      <c r="C21" s="157">
        <v>39073688</v>
      </c>
      <c r="D21" s="50">
        <v>41265899</v>
      </c>
      <c r="E21" s="50">
        <f t="shared" si="3"/>
        <v>44508746.198160321</v>
      </c>
      <c r="F21" s="233">
        <f t="shared" si="4"/>
        <v>3242847.1981603205</v>
      </c>
      <c r="G21" s="234">
        <f t="shared" si="5"/>
        <v>7.8584188803455385E-2</v>
      </c>
    </row>
    <row r="22" spans="1:1022" x14ac:dyDescent="0.25">
      <c r="A22" s="243" t="s">
        <v>6</v>
      </c>
      <c r="B22" s="246"/>
      <c r="C22" s="157">
        <v>115783919</v>
      </c>
      <c r="D22" s="50">
        <v>117651532</v>
      </c>
      <c r="E22" s="50">
        <f t="shared" si="3"/>
        <v>124855930.53691885</v>
      </c>
      <c r="F22" s="233">
        <f t="shared" si="4"/>
        <v>7204398.5369188488</v>
      </c>
      <c r="G22" s="234">
        <f t="shared" si="5"/>
        <v>6.1235059284386106E-2</v>
      </c>
    </row>
    <row r="23" spans="1:1022" x14ac:dyDescent="0.25">
      <c r="A23" s="243" t="s">
        <v>7</v>
      </c>
      <c r="B23" s="246"/>
      <c r="C23" s="157">
        <v>91385251</v>
      </c>
      <c r="D23" s="50">
        <v>91755554</v>
      </c>
      <c r="E23" s="50">
        <f t="shared" si="3"/>
        <v>96355175.598774076</v>
      </c>
      <c r="F23" s="233">
        <f t="shared" si="4"/>
        <v>4599621.5987740755</v>
      </c>
      <c r="G23" s="234">
        <f t="shared" si="5"/>
        <v>5.0129081001179236E-2</v>
      </c>
    </row>
    <row r="24" spans="1:1022" s="9" customFormat="1" ht="15.75" thickBot="1" x14ac:dyDescent="0.3">
      <c r="A24" s="244" t="s">
        <v>8</v>
      </c>
      <c r="B24" s="155"/>
      <c r="C24" s="297">
        <f>SUM(C16:C23)</f>
        <v>781867828</v>
      </c>
      <c r="D24" s="231">
        <f>SUM(D16:D23)</f>
        <v>795816562</v>
      </c>
      <c r="E24" s="231">
        <f>SUM(E16:E23)</f>
        <v>852396360.2737112</v>
      </c>
      <c r="F24" s="235">
        <f t="shared" ref="F24" si="6">SUM(F16:F23)</f>
        <v>56579798.273711175</v>
      </c>
      <c r="G24" s="298">
        <f t="shared" si="5"/>
        <v>7.109653276317611E-2</v>
      </c>
      <c r="AMH24" s="23"/>
    </row>
    <row r="25" spans="1:1022" ht="15.75" thickBot="1" x14ac:dyDescent="0.3">
      <c r="A25" s="302"/>
      <c r="B25" s="302"/>
      <c r="C25" s="302"/>
      <c r="D25" s="302"/>
      <c r="E25" s="302"/>
      <c r="F25" s="302"/>
      <c r="G25" s="302"/>
    </row>
    <row r="26" spans="1:1022" ht="16.5" thickTop="1" thickBot="1" x14ac:dyDescent="0.3">
      <c r="A26" s="20" t="s">
        <v>35</v>
      </c>
      <c r="B26" s="20"/>
    </row>
    <row r="27" spans="1:1022" x14ac:dyDescent="0.25">
      <c r="A27" s="118" t="s">
        <v>38</v>
      </c>
      <c r="B27" s="154"/>
      <c r="C27" s="137" t="s">
        <v>12</v>
      </c>
      <c r="D27" s="137" t="s">
        <v>13</v>
      </c>
      <c r="E27" s="138" t="s">
        <v>78</v>
      </c>
      <c r="F27"/>
    </row>
    <row r="28" spans="1:1022" x14ac:dyDescent="0.25">
      <c r="A28" s="121" t="s">
        <v>0</v>
      </c>
      <c r="B28" s="152"/>
      <c r="C28" s="50">
        <v>8443007</v>
      </c>
      <c r="D28" s="50">
        <v>8762221</v>
      </c>
      <c r="E28" s="236">
        <v>8973302.6094669476</v>
      </c>
      <c r="F28"/>
    </row>
    <row r="29" spans="1:1022" x14ac:dyDescent="0.25">
      <c r="A29" s="122" t="s">
        <v>1</v>
      </c>
      <c r="B29" s="246"/>
      <c r="C29" s="50">
        <v>6796296</v>
      </c>
      <c r="D29" s="50">
        <v>6919513</v>
      </c>
      <c r="E29" s="236">
        <v>7143686.4317718102</v>
      </c>
      <c r="F29"/>
    </row>
    <row r="30" spans="1:1022" x14ac:dyDescent="0.25">
      <c r="A30" s="121" t="s">
        <v>2</v>
      </c>
      <c r="B30" s="152"/>
      <c r="C30" s="50">
        <v>10004331</v>
      </c>
      <c r="D30" s="50">
        <v>10671734</v>
      </c>
      <c r="E30" s="236">
        <v>12571363.756080266</v>
      </c>
      <c r="F30"/>
    </row>
    <row r="31" spans="1:1022" x14ac:dyDescent="0.25">
      <c r="A31" s="121" t="s">
        <v>3</v>
      </c>
      <c r="B31" s="152"/>
      <c r="C31" s="50">
        <v>14000591</v>
      </c>
      <c r="D31" s="50">
        <v>16028738</v>
      </c>
      <c r="E31" s="236">
        <v>17022758.000489831</v>
      </c>
      <c r="F31"/>
    </row>
    <row r="32" spans="1:1022" x14ac:dyDescent="0.25">
      <c r="A32" s="121" t="s">
        <v>4</v>
      </c>
      <c r="B32" s="152"/>
      <c r="C32" s="50">
        <v>23485850</v>
      </c>
      <c r="D32" s="50">
        <v>23357227</v>
      </c>
      <c r="E32" s="236">
        <v>26110761.992325261</v>
      </c>
      <c r="F32"/>
    </row>
    <row r="33" spans="1:8" x14ac:dyDescent="0.25">
      <c r="A33" s="121" t="s">
        <v>5</v>
      </c>
      <c r="B33" s="152"/>
      <c r="C33" s="50">
        <v>4437790</v>
      </c>
      <c r="D33" s="50">
        <v>4722564</v>
      </c>
      <c r="E33" s="236">
        <v>5191970.6616698178</v>
      </c>
      <c r="F33"/>
    </row>
    <row r="34" spans="1:8" x14ac:dyDescent="0.25">
      <c r="A34" s="122" t="s">
        <v>6</v>
      </c>
      <c r="B34" s="246"/>
      <c r="C34" s="50">
        <v>11794111</v>
      </c>
      <c r="D34" s="50">
        <v>12257802</v>
      </c>
      <c r="E34" s="236">
        <v>12707014.043629752</v>
      </c>
      <c r="F34"/>
      <c r="G34" s="21"/>
    </row>
    <row r="35" spans="1:8" x14ac:dyDescent="0.25">
      <c r="A35" s="122" t="s">
        <v>7</v>
      </c>
      <c r="B35" s="246"/>
      <c r="C35" s="50">
        <v>10522729</v>
      </c>
      <c r="D35" s="50">
        <v>11336753</v>
      </c>
      <c r="E35" s="236">
        <v>11912365.964146961</v>
      </c>
      <c r="F35"/>
    </row>
    <row r="36" spans="1:8" x14ac:dyDescent="0.25">
      <c r="A36" s="237" t="s">
        <v>8</v>
      </c>
      <c r="B36" s="155"/>
      <c r="C36" s="23">
        <f>SUM(C28:C35)</f>
        <v>89484705</v>
      </c>
      <c r="D36" s="23">
        <f>SUM(D28:D35)</f>
        <v>94056552</v>
      </c>
      <c r="E36" s="23">
        <f>SUM(E28:E35)</f>
        <v>101633223.45958064</v>
      </c>
      <c r="F36"/>
      <c r="H36" s="7"/>
    </row>
    <row r="37" spans="1:8" x14ac:dyDescent="0.25">
      <c r="A37" s="247" t="s">
        <v>30</v>
      </c>
      <c r="B37" s="173"/>
      <c r="C37" s="249">
        <v>1442295</v>
      </c>
      <c r="D37" s="50">
        <v>1501748</v>
      </c>
      <c r="E37" s="236">
        <v>1885376.5404193585</v>
      </c>
      <c r="F37"/>
    </row>
    <row r="38" spans="1:8" s="9" customFormat="1" ht="15.75" thickBot="1" x14ac:dyDescent="0.3">
      <c r="A38" s="248" t="s">
        <v>31</v>
      </c>
      <c r="B38" s="251"/>
      <c r="C38" s="250">
        <f>C37+C36</f>
        <v>90927000</v>
      </c>
      <c r="D38" s="238">
        <f>D37+D36</f>
        <v>95558300</v>
      </c>
      <c r="E38" s="239">
        <f>E37+E36</f>
        <v>103518600</v>
      </c>
      <c r="F38"/>
      <c r="G38" s="5"/>
    </row>
    <row r="39" spans="1:8" ht="15.75" thickBot="1" x14ac:dyDescent="0.3">
      <c r="A39" s="302"/>
      <c r="B39" s="302"/>
      <c r="C39" s="302"/>
      <c r="D39" s="302"/>
      <c r="E39" s="302"/>
      <c r="F39"/>
    </row>
    <row r="40" spans="1:8" ht="16.5" thickTop="1" thickBot="1" x14ac:dyDescent="0.3">
      <c r="A40" s="20" t="s">
        <v>125</v>
      </c>
      <c r="B40" s="20"/>
    </row>
    <row r="41" spans="1:8" x14ac:dyDescent="0.25">
      <c r="A41" s="118" t="s">
        <v>38</v>
      </c>
      <c r="B41" s="154"/>
      <c r="C41" s="137" t="s">
        <v>12</v>
      </c>
      <c r="D41" s="137" t="s">
        <v>13</v>
      </c>
      <c r="E41" s="138" t="s">
        <v>78</v>
      </c>
      <c r="F41"/>
    </row>
    <row r="42" spans="1:8" x14ac:dyDescent="0.25">
      <c r="A42" s="121" t="s">
        <v>0</v>
      </c>
      <c r="B42" s="152"/>
      <c r="C42" s="50">
        <f t="shared" ref="C42:E49" si="7">C16-C28</f>
        <v>64543475</v>
      </c>
      <c r="D42" s="50">
        <f t="shared" si="7"/>
        <v>64909006</v>
      </c>
      <c r="E42" s="236">
        <f t="shared" si="7"/>
        <v>66850597.060103171</v>
      </c>
      <c r="F42"/>
    </row>
    <row r="43" spans="1:8" x14ac:dyDescent="0.25">
      <c r="A43" s="122" t="s">
        <v>1</v>
      </c>
      <c r="B43" s="246"/>
      <c r="C43" s="50">
        <f t="shared" si="7"/>
        <v>51641432</v>
      </c>
      <c r="D43" s="50">
        <f t="shared" si="7"/>
        <v>52784862</v>
      </c>
      <c r="E43" s="236">
        <f t="shared" si="7"/>
        <v>55674212.28221897</v>
      </c>
      <c r="F43"/>
    </row>
    <row r="44" spans="1:8" x14ac:dyDescent="0.25">
      <c r="A44" s="121" t="s">
        <v>2</v>
      </c>
      <c r="B44" s="152"/>
      <c r="C44" s="50">
        <f t="shared" si="7"/>
        <v>76662213</v>
      </c>
      <c r="D44" s="50">
        <f t="shared" si="7"/>
        <v>88314834</v>
      </c>
      <c r="E44" s="236">
        <f t="shared" si="7"/>
        <v>95707726.887622356</v>
      </c>
      <c r="F44"/>
    </row>
    <row r="45" spans="1:8" x14ac:dyDescent="0.25">
      <c r="A45" s="121" t="s">
        <v>3</v>
      </c>
      <c r="B45" s="152"/>
      <c r="C45" s="50">
        <f t="shared" si="7"/>
        <v>108643985</v>
      </c>
      <c r="D45" s="50">
        <f t="shared" si="7"/>
        <v>107059627</v>
      </c>
      <c r="E45" s="236">
        <f t="shared" si="7"/>
        <v>112004950.2863991</v>
      </c>
      <c r="F45"/>
    </row>
    <row r="46" spans="1:8" x14ac:dyDescent="0.25">
      <c r="A46" s="121" t="s">
        <v>4</v>
      </c>
      <c r="B46" s="152"/>
      <c r="C46" s="50">
        <f t="shared" si="7"/>
        <v>171403790</v>
      </c>
      <c r="D46" s="50">
        <f t="shared" si="7"/>
        <v>166335815</v>
      </c>
      <c r="E46" s="236">
        <f t="shared" si="7"/>
        <v>184617148.63338023</v>
      </c>
      <c r="F46"/>
    </row>
    <row r="47" spans="1:8" x14ac:dyDescent="0.25">
      <c r="A47" s="121" t="s">
        <v>5</v>
      </c>
      <c r="B47" s="152"/>
      <c r="C47" s="50">
        <f t="shared" si="7"/>
        <v>34635898</v>
      </c>
      <c r="D47" s="50">
        <f t="shared" si="7"/>
        <v>36543335</v>
      </c>
      <c r="E47" s="236">
        <f t="shared" si="7"/>
        <v>39316775.5364905</v>
      </c>
      <c r="F47"/>
    </row>
    <row r="48" spans="1:8" x14ac:dyDescent="0.25">
      <c r="A48" s="122" t="s">
        <v>6</v>
      </c>
      <c r="B48" s="246"/>
      <c r="C48" s="50">
        <f t="shared" si="7"/>
        <v>103989808</v>
      </c>
      <c r="D48" s="50">
        <f t="shared" si="7"/>
        <v>105393730</v>
      </c>
      <c r="E48" s="236">
        <f t="shared" si="7"/>
        <v>112148916.4932891</v>
      </c>
      <c r="F48"/>
    </row>
    <row r="49" spans="1:8" x14ac:dyDescent="0.25">
      <c r="A49" s="122" t="s">
        <v>7</v>
      </c>
      <c r="B49" s="246"/>
      <c r="C49" s="50">
        <f t="shared" si="7"/>
        <v>80862522</v>
      </c>
      <c r="D49" s="50">
        <f t="shared" si="7"/>
        <v>80418801</v>
      </c>
      <c r="E49" s="236">
        <f t="shared" si="7"/>
        <v>84442809.634627119</v>
      </c>
      <c r="F49"/>
      <c r="G49" s="21"/>
    </row>
    <row r="50" spans="1:8" ht="15.75" thickBot="1" x14ac:dyDescent="0.3">
      <c r="A50" s="229" t="s">
        <v>8</v>
      </c>
      <c r="B50" s="155"/>
      <c r="C50" s="231">
        <f>SUM(C42:C49)</f>
        <v>692383123</v>
      </c>
      <c r="D50" s="231">
        <f>SUM(D42:D49)</f>
        <v>701760010</v>
      </c>
      <c r="E50" s="232">
        <f>SUM(E42:E49)</f>
        <v>750763136.81413054</v>
      </c>
      <c r="F50"/>
    </row>
    <row r="51" spans="1:8" customFormat="1" ht="15.75" thickBot="1" x14ac:dyDescent="0.3">
      <c r="A51" s="303"/>
      <c r="B51" s="303"/>
      <c r="C51" s="303"/>
      <c r="D51" s="303"/>
      <c r="E51" s="303"/>
    </row>
    <row r="52" spans="1:8" ht="16.5" thickTop="1" thickBot="1" x14ac:dyDescent="0.3">
      <c r="A52" s="51" t="s">
        <v>384</v>
      </c>
      <c r="B52" s="51"/>
    </row>
    <row r="53" spans="1:8" ht="15.75" thickBot="1" x14ac:dyDescent="0.3">
      <c r="A53" s="542" t="s">
        <v>38</v>
      </c>
      <c r="B53" s="154"/>
      <c r="C53" s="544">
        <v>2019</v>
      </c>
      <c r="D53" s="545"/>
      <c r="E53" s="545"/>
      <c r="F53" s="546">
        <v>2020</v>
      </c>
      <c r="G53" s="545"/>
      <c r="H53" s="547"/>
    </row>
    <row r="54" spans="1:8" s="52" customFormat="1" x14ac:dyDescent="0.25">
      <c r="A54" s="543"/>
      <c r="C54" s="118" t="s">
        <v>383</v>
      </c>
      <c r="D54" s="482" t="s">
        <v>382</v>
      </c>
      <c r="E54" s="487" t="s">
        <v>31</v>
      </c>
      <c r="F54" s="484" t="s">
        <v>33</v>
      </c>
      <c r="G54" s="482" t="s">
        <v>34</v>
      </c>
      <c r="H54" s="483" t="s">
        <v>31</v>
      </c>
    </row>
    <row r="55" spans="1:8" x14ac:dyDescent="0.25">
      <c r="A55" s="121" t="s">
        <v>0</v>
      </c>
      <c r="B55" s="152"/>
      <c r="C55" s="488">
        <v>2817663.040786841</v>
      </c>
      <c r="D55" s="50">
        <v>610310</v>
      </c>
      <c r="E55" s="489">
        <f>SUM(C55:D55)</f>
        <v>3427973.040786841</v>
      </c>
      <c r="F55" s="485">
        <f>('1.1 Objemy A JU'!$C$8/'1.1 Objemy A JU'!$C$7)*'1.1 Objemy A JU'!G13</f>
        <v>2886874.341418975</v>
      </c>
      <c r="G55" s="50">
        <f>('1.2 Objemy K JU'!$C$6/'1.2 Objemy K JU'!$C$7)*'1.2 Objemy K JU'!O13</f>
        <v>647940.90810300224</v>
      </c>
      <c r="H55" s="236">
        <f>SUM(F55:G55)</f>
        <v>3534815.2495219773</v>
      </c>
    </row>
    <row r="56" spans="1:8" x14ac:dyDescent="0.25">
      <c r="A56" s="122" t="s">
        <v>1</v>
      </c>
      <c r="B56" s="246"/>
      <c r="C56" s="488">
        <v>1609348.6008681506</v>
      </c>
      <c r="D56" s="50">
        <v>556859</v>
      </c>
      <c r="E56" s="489">
        <f t="shared" ref="E56:E62" si="8">SUM(C56:D56)</f>
        <v>2166207.6008681506</v>
      </c>
      <c r="F56" s="485">
        <f>('1.1 Objemy A JU'!$C$8/'1.1 Objemy A JU'!$C$7)*'1.1 Objemy A JU'!G14</f>
        <v>1639693.7904693279</v>
      </c>
      <c r="G56" s="50">
        <f>('1.2 Objemy K JU'!$C$6/'1.2 Objemy K JU'!$C$7)*'1.2 Objemy K JU'!O14</f>
        <v>618139.14087891311</v>
      </c>
      <c r="H56" s="236">
        <f t="shared" ref="H56:H62" si="9">SUM(F56:G56)</f>
        <v>2257832.9313482409</v>
      </c>
    </row>
    <row r="57" spans="1:8" x14ac:dyDescent="0.25">
      <c r="A57" s="121" t="s">
        <v>2</v>
      </c>
      <c r="B57" s="152"/>
      <c r="C57" s="488">
        <v>1115686</v>
      </c>
      <c r="D57" s="50">
        <v>740371</v>
      </c>
      <c r="E57" s="489">
        <f t="shared" si="8"/>
        <v>1856057</v>
      </c>
      <c r="F57" s="485">
        <f>('1.1 Objemy A JU'!$C$8/'1.1 Objemy A JU'!$C$7)*'1.1 Objemy A JU'!G15</f>
        <v>1127295.8184134094</v>
      </c>
      <c r="G57" s="50">
        <f>('1.2 Objemy K JU'!$C$6/'1.2 Objemy K JU'!$C$7)*'1.2 Objemy K JU'!O15</f>
        <v>845002.08037811995</v>
      </c>
      <c r="H57" s="236">
        <f t="shared" si="9"/>
        <v>1972297.8987915292</v>
      </c>
    </row>
    <row r="58" spans="1:8" x14ac:dyDescent="0.25">
      <c r="A58" s="121" t="s">
        <v>3</v>
      </c>
      <c r="B58" s="152"/>
      <c r="C58" s="488">
        <v>5271677</v>
      </c>
      <c r="D58" s="50">
        <v>613251</v>
      </c>
      <c r="E58" s="489">
        <f t="shared" si="8"/>
        <v>5884928</v>
      </c>
      <c r="F58" s="485">
        <f>('1.1 Objemy A JU'!$C$8/'1.1 Objemy A JU'!$C$7)*'1.1 Objemy A JU'!G16</f>
        <v>5462617.3852423923</v>
      </c>
      <c r="G58" s="50">
        <f>('1.2 Objemy K JU'!$C$6/'1.2 Objemy K JU'!$C$7)*'1.2 Objemy K JU'!O16</f>
        <v>696101.93991994427</v>
      </c>
      <c r="H58" s="236">
        <f t="shared" si="9"/>
        <v>6158719.3251623362</v>
      </c>
    </row>
    <row r="59" spans="1:8" x14ac:dyDescent="0.25">
      <c r="A59" s="121" t="s">
        <v>4</v>
      </c>
      <c r="B59" s="152"/>
      <c r="C59" s="488">
        <v>4017458</v>
      </c>
      <c r="D59" s="50">
        <v>1252500</v>
      </c>
      <c r="E59" s="489">
        <f t="shared" si="8"/>
        <v>5269958</v>
      </c>
      <c r="F59" s="485">
        <f>('1.1 Objemy A JU'!$C$8/'1.1 Objemy A JU'!$C$7)*'1.1 Objemy A JU'!G17</f>
        <v>4187410.3750986299</v>
      </c>
      <c r="G59" s="50">
        <f>('1.2 Objemy K JU'!$C$6/'1.2 Objemy K JU'!$C$7)*'1.2 Objemy K JU'!O17</f>
        <v>1426057.9334429954</v>
      </c>
      <c r="H59" s="236">
        <f t="shared" si="9"/>
        <v>5613468.3085416257</v>
      </c>
    </row>
    <row r="60" spans="1:8" x14ac:dyDescent="0.25">
      <c r="A60" s="121" t="s">
        <v>5</v>
      </c>
      <c r="B60" s="152"/>
      <c r="C60" s="488">
        <v>1246797</v>
      </c>
      <c r="D60" s="50">
        <v>347139</v>
      </c>
      <c r="E60" s="489">
        <f t="shared" si="8"/>
        <v>1593936</v>
      </c>
      <c r="F60" s="485">
        <f>('1.1 Objemy A JU'!$C$8/'1.1 Objemy A JU'!$C$7)*'1.1 Objemy A JU'!G18</f>
        <v>1324177.3372512399</v>
      </c>
      <c r="G60" s="50">
        <f>('1.2 Objemy K JU'!$C$6/'1.2 Objemy K JU'!$C$7)*'1.2 Objemy K JU'!O18</f>
        <v>355840.76316459652</v>
      </c>
      <c r="H60" s="236">
        <f t="shared" si="9"/>
        <v>1680018.1004158366</v>
      </c>
    </row>
    <row r="61" spans="1:8" x14ac:dyDescent="0.25">
      <c r="A61" s="122" t="s">
        <v>6</v>
      </c>
      <c r="B61" s="246"/>
      <c r="C61" s="488">
        <v>5395367</v>
      </c>
      <c r="D61" s="50">
        <v>437251</v>
      </c>
      <c r="E61" s="489">
        <f t="shared" si="8"/>
        <v>5832618</v>
      </c>
      <c r="F61" s="485">
        <f>('1.1 Objemy A JU'!$C$8/'1.1 Objemy A JU'!$C$7)*'1.1 Objemy A JU'!G19</f>
        <v>5711396.7711546579</v>
      </c>
      <c r="G61" s="50">
        <f>('1.2 Objemy K JU'!$C$6/'1.2 Objemy K JU'!$C$7)*'1.2 Objemy K JU'!O19</f>
        <v>458734.81249622023</v>
      </c>
      <c r="H61" s="236">
        <f t="shared" si="9"/>
        <v>6170131.5836508777</v>
      </c>
    </row>
    <row r="62" spans="1:8" x14ac:dyDescent="0.25">
      <c r="A62" s="122" t="s">
        <v>7</v>
      </c>
      <c r="B62" s="246"/>
      <c r="C62" s="488">
        <v>3285212</v>
      </c>
      <c r="D62" s="50">
        <v>451033</v>
      </c>
      <c r="E62" s="489">
        <f t="shared" si="8"/>
        <v>3736245</v>
      </c>
      <c r="F62" s="485">
        <f>('1.1 Objemy A JU'!$C$8/'1.1 Objemy A JU'!$C$7)*'1.1 Objemy A JU'!G20</f>
        <v>3547306.3387782681</v>
      </c>
      <c r="G62" s="50">
        <f>('1.2 Objemy K JU'!$C$6/'1.2 Objemy K JU'!$C$7)*'1.2 Objemy K JU'!O20</f>
        <v>504945.02161620877</v>
      </c>
      <c r="H62" s="236">
        <f t="shared" si="9"/>
        <v>4052251.3603944769</v>
      </c>
    </row>
    <row r="63" spans="1:8" s="9" customFormat="1" ht="15.75" thickBot="1" x14ac:dyDescent="0.3">
      <c r="A63" s="240" t="s">
        <v>31</v>
      </c>
      <c r="B63" s="155"/>
      <c r="C63" s="297">
        <f t="shared" ref="C63:H63" si="10">SUM(C55:C62)</f>
        <v>24759208.641654991</v>
      </c>
      <c r="D63" s="238">
        <f t="shared" si="10"/>
        <v>5008714</v>
      </c>
      <c r="E63" s="490">
        <f t="shared" si="10"/>
        <v>29767922.641654991</v>
      </c>
      <c r="F63" s="486">
        <f t="shared" si="10"/>
        <v>25886772.157826904</v>
      </c>
      <c r="G63" s="238">
        <f t="shared" si="10"/>
        <v>5552762.6000000006</v>
      </c>
      <c r="H63" s="239">
        <f t="shared" si="10"/>
        <v>31439534.757826902</v>
      </c>
    </row>
  </sheetData>
  <mergeCells count="4">
    <mergeCell ref="F15:G15"/>
    <mergeCell ref="A53:A54"/>
    <mergeCell ref="C53:E53"/>
    <mergeCell ref="F53:H53"/>
  </mergeCells>
  <pageMargins left="0.7" right="0.7" top="0.78740157499999996" bottom="0.78740157499999996" header="0.3" footer="0.3"/>
  <pageSetup paperSize="9" scale="10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</sheetPr>
  <dimension ref="A1:N133"/>
  <sheetViews>
    <sheetView tabSelected="1" topLeftCell="A13" zoomScaleNormal="100" workbookViewId="0">
      <selection activeCell="E8" sqref="E8"/>
    </sheetView>
  </sheetViews>
  <sheetFormatPr defaultRowHeight="15" x14ac:dyDescent="0.25"/>
  <cols>
    <col min="1" max="1" width="10" customWidth="1"/>
    <col min="2" max="2" width="32.5703125" bestFit="1" customWidth="1"/>
    <col min="3" max="3" width="33.140625" bestFit="1" customWidth="1"/>
    <col min="4" max="5" width="13.42578125" style="9" bestFit="1" customWidth="1"/>
    <col min="6" max="6" width="11.28515625" style="9" bestFit="1" customWidth="1"/>
    <col min="7" max="7" width="9.85546875" style="9" bestFit="1" customWidth="1"/>
    <col min="8" max="8" width="5.7109375" customWidth="1"/>
    <col min="9" max="10" width="12.28515625" bestFit="1" customWidth="1"/>
    <col min="11" max="11" width="11.28515625" bestFit="1" customWidth="1"/>
    <col min="12" max="12" width="9.85546875" bestFit="1" customWidth="1"/>
    <col min="13" max="13" width="5.7109375" customWidth="1"/>
    <col min="14" max="14" width="11.140625" bestFit="1" customWidth="1"/>
    <col min="15" max="15" width="12.42578125" bestFit="1" customWidth="1"/>
  </cols>
  <sheetData>
    <row r="1" spans="1:12" ht="15.75" x14ac:dyDescent="0.25">
      <c r="A1" s="24" t="s">
        <v>240</v>
      </c>
      <c r="B1" s="380"/>
      <c r="C1" s="380"/>
      <c r="D1" s="381"/>
      <c r="E1" s="381"/>
      <c r="F1" s="381"/>
      <c r="G1" s="381"/>
      <c r="I1" s="380"/>
      <c r="J1" s="380"/>
      <c r="K1" s="380"/>
      <c r="L1" s="380"/>
    </row>
    <row r="2" spans="1:12" ht="16.5" thickBot="1" x14ac:dyDescent="0.3">
      <c r="A2" s="380"/>
      <c r="B2" s="380"/>
      <c r="C2" s="380"/>
      <c r="D2" s="548" t="s">
        <v>241</v>
      </c>
      <c r="E2" s="548"/>
      <c r="F2" s="548"/>
      <c r="G2" s="548"/>
      <c r="I2" s="549" t="s">
        <v>242</v>
      </c>
      <c r="J2" s="549"/>
      <c r="K2" s="549"/>
      <c r="L2" s="549"/>
    </row>
    <row r="3" spans="1:12" ht="51.75" thickBot="1" x14ac:dyDescent="0.3">
      <c r="A3" s="382" t="s">
        <v>243</v>
      </c>
      <c r="B3" s="383" t="s">
        <v>244</v>
      </c>
      <c r="C3" s="383" t="s">
        <v>245</v>
      </c>
      <c r="D3" s="384" t="s">
        <v>246</v>
      </c>
      <c r="E3" s="385" t="s">
        <v>247</v>
      </c>
      <c r="F3" s="383" t="s">
        <v>248</v>
      </c>
      <c r="G3" s="386" t="s">
        <v>249</v>
      </c>
      <c r="I3" s="384" t="s">
        <v>250</v>
      </c>
      <c r="J3" s="385" t="s">
        <v>251</v>
      </c>
      <c r="K3" s="383" t="s">
        <v>252</v>
      </c>
      <c r="L3" s="386" t="s">
        <v>253</v>
      </c>
    </row>
    <row r="4" spans="1:12" x14ac:dyDescent="0.25">
      <c r="A4" s="387" t="s">
        <v>254</v>
      </c>
      <c r="B4" s="388" t="s">
        <v>255</v>
      </c>
      <c r="C4" s="388" t="s">
        <v>256</v>
      </c>
      <c r="D4" s="389">
        <f>SUM(E4:G4)</f>
        <v>577000</v>
      </c>
      <c r="E4" s="390">
        <v>487000</v>
      </c>
      <c r="F4" s="390">
        <v>90000</v>
      </c>
      <c r="G4" s="391"/>
      <c r="I4" s="392">
        <f>SUM(J4:L4)</f>
        <v>237000</v>
      </c>
      <c r="J4" s="393">
        <v>147000</v>
      </c>
      <c r="K4" s="393">
        <v>90000</v>
      </c>
      <c r="L4" s="394"/>
    </row>
    <row r="5" spans="1:12" x14ac:dyDescent="0.25">
      <c r="A5" s="395" t="s">
        <v>190</v>
      </c>
      <c r="B5" s="396" t="s">
        <v>257</v>
      </c>
      <c r="C5" s="396" t="s">
        <v>258</v>
      </c>
      <c r="D5" s="397">
        <f>SUM(E5:G5)</f>
        <v>54358000</v>
      </c>
      <c r="E5" s="398">
        <v>54358000</v>
      </c>
      <c r="F5" s="397"/>
      <c r="G5" s="399"/>
      <c r="I5" s="400">
        <f>SUM(J5:L5)</f>
        <v>45828000</v>
      </c>
      <c r="J5" s="401">
        <v>45828000</v>
      </c>
      <c r="K5" s="400"/>
      <c r="L5" s="402"/>
    </row>
    <row r="6" spans="1:12" x14ac:dyDescent="0.25">
      <c r="A6" s="403" t="s">
        <v>184</v>
      </c>
      <c r="B6" s="404" t="s">
        <v>259</v>
      </c>
      <c r="C6" s="404" t="s">
        <v>260</v>
      </c>
      <c r="D6" s="405">
        <f>SUM(E6:G6)</f>
        <v>263000</v>
      </c>
      <c r="E6" s="405">
        <v>238000</v>
      </c>
      <c r="F6" s="406">
        <v>25000</v>
      </c>
      <c r="G6" s="407"/>
      <c r="I6" s="408">
        <f>SUM(J6:L6)</f>
        <v>265000</v>
      </c>
      <c r="J6" s="408">
        <v>254000</v>
      </c>
      <c r="K6" s="409">
        <v>11000</v>
      </c>
      <c r="L6" s="410"/>
    </row>
    <row r="7" spans="1:12" x14ac:dyDescent="0.25">
      <c r="A7" s="403" t="s">
        <v>186</v>
      </c>
      <c r="B7" s="404" t="s">
        <v>261</v>
      </c>
      <c r="C7" s="404" t="s">
        <v>262</v>
      </c>
      <c r="D7" s="405">
        <f t="shared" ref="D7:D14" si="0">SUM(E7:G7)</f>
        <v>175000</v>
      </c>
      <c r="E7" s="405">
        <v>165000</v>
      </c>
      <c r="F7" s="406">
        <v>10000</v>
      </c>
      <c r="G7" s="407"/>
      <c r="I7" s="408">
        <f t="shared" ref="I7:I14" si="1">SUM(J7:L7)</f>
        <v>173000</v>
      </c>
      <c r="J7" s="408">
        <v>163000</v>
      </c>
      <c r="K7" s="409">
        <v>10000</v>
      </c>
      <c r="L7" s="410"/>
    </row>
    <row r="8" spans="1:12" x14ac:dyDescent="0.25">
      <c r="A8" s="403" t="s">
        <v>216</v>
      </c>
      <c r="B8" s="404" t="s">
        <v>263</v>
      </c>
      <c r="C8" s="404" t="s">
        <v>264</v>
      </c>
      <c r="D8" s="405">
        <f t="shared" si="0"/>
        <v>84000</v>
      </c>
      <c r="E8" s="405">
        <v>78000</v>
      </c>
      <c r="F8" s="406">
        <v>6000</v>
      </c>
      <c r="G8" s="407"/>
      <c r="I8" s="408">
        <f t="shared" si="1"/>
        <v>64000</v>
      </c>
      <c r="J8" s="408">
        <v>58000</v>
      </c>
      <c r="K8" s="409">
        <v>6000</v>
      </c>
      <c r="L8" s="410"/>
    </row>
    <row r="9" spans="1:12" x14ac:dyDescent="0.25">
      <c r="A9" s="403" t="s">
        <v>190</v>
      </c>
      <c r="B9" s="404" t="s">
        <v>265</v>
      </c>
      <c r="C9" s="404" t="s">
        <v>266</v>
      </c>
      <c r="D9" s="405">
        <f t="shared" si="0"/>
        <v>232000</v>
      </c>
      <c r="E9" s="405">
        <v>220000</v>
      </c>
      <c r="F9" s="406">
        <v>12000</v>
      </c>
      <c r="G9" s="407"/>
      <c r="I9" s="408">
        <f t="shared" si="1"/>
        <v>131000</v>
      </c>
      <c r="J9" s="408">
        <v>121000</v>
      </c>
      <c r="K9" s="409">
        <v>10000</v>
      </c>
      <c r="L9" s="410"/>
    </row>
    <row r="10" spans="1:12" x14ac:dyDescent="0.25">
      <c r="A10" s="403" t="s">
        <v>192</v>
      </c>
      <c r="B10" s="404" t="s">
        <v>267</v>
      </c>
      <c r="C10" s="404" t="s">
        <v>268</v>
      </c>
      <c r="D10" s="405">
        <f t="shared" si="0"/>
        <v>328000</v>
      </c>
      <c r="E10" s="405">
        <v>325000</v>
      </c>
      <c r="F10" s="406">
        <v>3000</v>
      </c>
      <c r="G10" s="407"/>
      <c r="I10" s="408">
        <f t="shared" si="1"/>
        <v>278000</v>
      </c>
      <c r="J10" s="408">
        <v>275000</v>
      </c>
      <c r="K10" s="409">
        <v>3000</v>
      </c>
      <c r="L10" s="410"/>
    </row>
    <row r="11" spans="1:12" x14ac:dyDescent="0.25">
      <c r="A11" s="403" t="s">
        <v>168</v>
      </c>
      <c r="B11" s="404" t="s">
        <v>269</v>
      </c>
      <c r="C11" s="404" t="s">
        <v>270</v>
      </c>
      <c r="D11" s="405">
        <f t="shared" si="0"/>
        <v>2380500</v>
      </c>
      <c r="E11" s="405">
        <v>2380500</v>
      </c>
      <c r="F11" s="406"/>
      <c r="G11" s="407"/>
      <c r="I11" s="408">
        <f t="shared" si="1"/>
        <v>3097000</v>
      </c>
      <c r="J11" s="408">
        <v>3097000</v>
      </c>
      <c r="K11" s="409"/>
      <c r="L11" s="410"/>
    </row>
    <row r="12" spans="1:12" x14ac:dyDescent="0.25">
      <c r="A12" s="403" t="s">
        <v>271</v>
      </c>
      <c r="B12" s="404" t="s">
        <v>272</v>
      </c>
      <c r="C12" s="404" t="s">
        <v>273</v>
      </c>
      <c r="D12" s="405">
        <f t="shared" si="0"/>
        <v>13000</v>
      </c>
      <c r="E12" s="405">
        <v>10000</v>
      </c>
      <c r="F12" s="406">
        <v>3000</v>
      </c>
      <c r="G12" s="407"/>
      <c r="I12" s="408">
        <f t="shared" si="1"/>
        <v>13000</v>
      </c>
      <c r="J12" s="408">
        <v>10000</v>
      </c>
      <c r="K12" s="409">
        <v>3000</v>
      </c>
      <c r="L12" s="410"/>
    </row>
    <row r="13" spans="1:12" x14ac:dyDescent="0.25">
      <c r="A13" s="403" t="s">
        <v>274</v>
      </c>
      <c r="B13" s="404" t="s">
        <v>275</v>
      </c>
      <c r="C13" s="404" t="s">
        <v>276</v>
      </c>
      <c r="D13" s="405">
        <f t="shared" si="0"/>
        <v>27000</v>
      </c>
      <c r="E13" s="405">
        <v>24000</v>
      </c>
      <c r="F13" s="406">
        <v>3000</v>
      </c>
      <c r="G13" s="407"/>
      <c r="I13" s="408">
        <f t="shared" si="1"/>
        <v>27000</v>
      </c>
      <c r="J13" s="408">
        <v>24000</v>
      </c>
      <c r="K13" s="409">
        <v>3000</v>
      </c>
      <c r="L13" s="410"/>
    </row>
    <row r="14" spans="1:12" x14ac:dyDescent="0.25">
      <c r="A14" s="403" t="s">
        <v>200</v>
      </c>
      <c r="B14" s="404" t="s">
        <v>277</v>
      </c>
      <c r="C14" s="404" t="s">
        <v>278</v>
      </c>
      <c r="D14" s="405">
        <f t="shared" si="0"/>
        <v>276000</v>
      </c>
      <c r="E14" s="405">
        <v>264000</v>
      </c>
      <c r="F14" s="406">
        <v>12000</v>
      </c>
      <c r="G14" s="407"/>
      <c r="I14" s="408">
        <f t="shared" si="1"/>
        <v>274000</v>
      </c>
      <c r="J14" s="408">
        <v>264000</v>
      </c>
      <c r="K14" s="409">
        <v>10000</v>
      </c>
      <c r="L14" s="410"/>
    </row>
    <row r="15" spans="1:12" x14ac:dyDescent="0.25">
      <c r="A15" s="411" t="s">
        <v>196</v>
      </c>
      <c r="B15" s="412" t="s">
        <v>279</v>
      </c>
      <c r="C15" s="412" t="s">
        <v>280</v>
      </c>
      <c r="D15" s="413">
        <f>SUM(E15:G15)</f>
        <v>55000</v>
      </c>
      <c r="E15" s="413">
        <v>40000</v>
      </c>
      <c r="F15" s="414"/>
      <c r="G15" s="415">
        <v>15000</v>
      </c>
      <c r="I15" s="416">
        <f>SUM(J15:L15)</f>
        <v>35000</v>
      </c>
      <c r="J15" s="416">
        <v>25000</v>
      </c>
      <c r="K15" s="417">
        <v>10000</v>
      </c>
      <c r="L15" s="418"/>
    </row>
    <row r="16" spans="1:12" x14ac:dyDescent="0.25">
      <c r="A16" s="403" t="s">
        <v>281</v>
      </c>
      <c r="B16" s="404" t="s">
        <v>282</v>
      </c>
      <c r="C16" s="404" t="s">
        <v>283</v>
      </c>
      <c r="D16" s="405">
        <f>SUM(E16:G16)</f>
        <v>46000</v>
      </c>
      <c r="E16" s="405">
        <v>46000</v>
      </c>
      <c r="F16" s="406"/>
      <c r="G16" s="407"/>
      <c r="I16" s="408">
        <f>SUM(J16:L16)</f>
        <v>46000</v>
      </c>
      <c r="J16" s="408">
        <v>46000</v>
      </c>
      <c r="K16" s="409"/>
      <c r="L16" s="410"/>
    </row>
    <row r="17" spans="1:12" x14ac:dyDescent="0.25">
      <c r="A17" s="403" t="s">
        <v>198</v>
      </c>
      <c r="B17" s="404" t="s">
        <v>284</v>
      </c>
      <c r="C17" s="404" t="s">
        <v>285</v>
      </c>
      <c r="D17" s="405">
        <f t="shared" ref="D17:D27" si="2">SUM(E17:G17)</f>
        <v>61500</v>
      </c>
      <c r="E17" s="405">
        <v>61500</v>
      </c>
      <c r="F17" s="406"/>
      <c r="G17" s="407"/>
      <c r="I17" s="408">
        <f t="shared" ref="I17:I27" si="3">SUM(J17:L17)</f>
        <v>62000</v>
      </c>
      <c r="J17" s="408">
        <v>62000</v>
      </c>
      <c r="K17" s="409"/>
      <c r="L17" s="410"/>
    </row>
    <row r="18" spans="1:12" x14ac:dyDescent="0.25">
      <c r="A18" s="403" t="s">
        <v>286</v>
      </c>
      <c r="B18" s="404" t="s">
        <v>287</v>
      </c>
      <c r="C18" s="404" t="s">
        <v>288</v>
      </c>
      <c r="D18" s="405">
        <f t="shared" si="2"/>
        <v>114000</v>
      </c>
      <c r="E18" s="405">
        <v>114000</v>
      </c>
      <c r="F18" s="406"/>
      <c r="G18" s="407"/>
      <c r="I18" s="408">
        <f t="shared" si="3"/>
        <v>89000</v>
      </c>
      <c r="J18" s="408">
        <v>89000</v>
      </c>
      <c r="K18" s="409"/>
      <c r="L18" s="410"/>
    </row>
    <row r="19" spans="1:12" x14ac:dyDescent="0.25">
      <c r="A19" s="403" t="s">
        <v>204</v>
      </c>
      <c r="B19" s="404" t="s">
        <v>289</v>
      </c>
      <c r="C19" s="404" t="s">
        <v>290</v>
      </c>
      <c r="D19" s="405">
        <f t="shared" si="2"/>
        <v>68000</v>
      </c>
      <c r="E19" s="405">
        <v>68000</v>
      </c>
      <c r="F19" s="406"/>
      <c r="G19" s="407"/>
      <c r="I19" s="408">
        <f t="shared" si="3"/>
        <v>15400</v>
      </c>
      <c r="J19" s="408">
        <v>15400</v>
      </c>
      <c r="K19" s="409"/>
      <c r="L19" s="410"/>
    </row>
    <row r="20" spans="1:12" x14ac:dyDescent="0.25">
      <c r="A20" s="403" t="s">
        <v>219</v>
      </c>
      <c r="B20" s="404" t="s">
        <v>291</v>
      </c>
      <c r="C20" s="404" t="s">
        <v>292</v>
      </c>
      <c r="D20" s="405">
        <f t="shared" si="2"/>
        <v>0</v>
      </c>
      <c r="E20" s="405">
        <v>0</v>
      </c>
      <c r="F20" s="406"/>
      <c r="G20" s="407"/>
      <c r="I20" s="408">
        <f t="shared" si="3"/>
        <v>0</v>
      </c>
      <c r="J20" s="408">
        <v>0</v>
      </c>
      <c r="K20" s="409"/>
      <c r="L20" s="410"/>
    </row>
    <row r="21" spans="1:12" x14ac:dyDescent="0.25">
      <c r="A21" s="403" t="s">
        <v>182</v>
      </c>
      <c r="B21" s="404" t="s">
        <v>293</v>
      </c>
      <c r="C21" s="404" t="s">
        <v>294</v>
      </c>
      <c r="D21" s="405">
        <f t="shared" si="2"/>
        <v>41000</v>
      </c>
      <c r="E21" s="405">
        <v>26000</v>
      </c>
      <c r="F21" s="406">
        <v>15000</v>
      </c>
      <c r="G21" s="407"/>
      <c r="I21" s="408">
        <f t="shared" si="3"/>
        <v>59000</v>
      </c>
      <c r="J21" s="408">
        <v>24000</v>
      </c>
      <c r="K21" s="409">
        <v>35000</v>
      </c>
      <c r="L21" s="410"/>
    </row>
    <row r="22" spans="1:12" x14ac:dyDescent="0.25">
      <c r="A22" s="403" t="s">
        <v>188</v>
      </c>
      <c r="B22" s="404" t="s">
        <v>295</v>
      </c>
      <c r="C22" s="404" t="s">
        <v>296</v>
      </c>
      <c r="D22" s="405">
        <f t="shared" si="2"/>
        <v>45000</v>
      </c>
      <c r="E22" s="405">
        <v>42000</v>
      </c>
      <c r="F22" s="406">
        <v>3000</v>
      </c>
      <c r="G22" s="407"/>
      <c r="I22" s="408">
        <f t="shared" si="3"/>
        <v>0</v>
      </c>
      <c r="J22" s="408">
        <v>0</v>
      </c>
      <c r="K22" s="409"/>
      <c r="L22" s="410"/>
    </row>
    <row r="23" spans="1:12" x14ac:dyDescent="0.25">
      <c r="A23" s="403" t="s">
        <v>297</v>
      </c>
      <c r="B23" s="404" t="s">
        <v>298</v>
      </c>
      <c r="C23" s="404" t="s">
        <v>299</v>
      </c>
      <c r="D23" s="405">
        <f t="shared" si="2"/>
        <v>300000</v>
      </c>
      <c r="E23" s="405">
        <v>300000</v>
      </c>
      <c r="F23" s="406"/>
      <c r="G23" s="407"/>
      <c r="I23" s="408">
        <f t="shared" si="3"/>
        <v>285000</v>
      </c>
      <c r="J23" s="408">
        <v>285000</v>
      </c>
      <c r="K23" s="409"/>
      <c r="L23" s="410"/>
    </row>
    <row r="24" spans="1:12" x14ac:dyDescent="0.25">
      <c r="A24" s="403" t="s">
        <v>202</v>
      </c>
      <c r="B24" s="404" t="s">
        <v>300</v>
      </c>
      <c r="C24" s="404" t="s">
        <v>301</v>
      </c>
      <c r="D24" s="405">
        <f t="shared" si="2"/>
        <v>321200</v>
      </c>
      <c r="E24" s="405">
        <v>321200</v>
      </c>
      <c r="F24" s="406"/>
      <c r="G24" s="407"/>
      <c r="I24" s="408">
        <f t="shared" si="3"/>
        <v>321200</v>
      </c>
      <c r="J24" s="408">
        <v>321200</v>
      </c>
      <c r="K24" s="409"/>
      <c r="L24" s="410"/>
    </row>
    <row r="25" spans="1:12" x14ac:dyDescent="0.25">
      <c r="A25" s="403" t="s">
        <v>202</v>
      </c>
      <c r="B25" s="404" t="s">
        <v>302</v>
      </c>
      <c r="C25" s="404" t="s">
        <v>303</v>
      </c>
      <c r="D25" s="405">
        <f t="shared" si="2"/>
        <v>69700</v>
      </c>
      <c r="E25" s="405">
        <v>67700</v>
      </c>
      <c r="F25" s="406">
        <v>2000</v>
      </c>
      <c r="G25" s="407"/>
      <c r="I25" s="408">
        <f t="shared" si="3"/>
        <v>75200</v>
      </c>
      <c r="J25" s="408">
        <v>73200</v>
      </c>
      <c r="K25" s="409">
        <v>2000</v>
      </c>
      <c r="L25" s="410"/>
    </row>
    <row r="26" spans="1:12" x14ac:dyDescent="0.25">
      <c r="A26" s="403" t="s">
        <v>202</v>
      </c>
      <c r="B26" s="404" t="s">
        <v>304</v>
      </c>
      <c r="C26" s="404" t="s">
        <v>303</v>
      </c>
      <c r="D26" s="405">
        <f t="shared" si="2"/>
        <v>2100000</v>
      </c>
      <c r="E26" s="406"/>
      <c r="F26" s="406">
        <v>2100000</v>
      </c>
      <c r="G26" s="407"/>
      <c r="I26" s="408">
        <f t="shared" si="3"/>
        <v>880800</v>
      </c>
      <c r="J26" s="409"/>
      <c r="K26" s="409">
        <v>880800</v>
      </c>
      <c r="L26" s="410"/>
    </row>
    <row r="27" spans="1:12" x14ac:dyDescent="0.25">
      <c r="A27" s="403" t="s">
        <v>190</v>
      </c>
      <c r="B27" s="404" t="s">
        <v>305</v>
      </c>
      <c r="C27" s="404" t="s">
        <v>306</v>
      </c>
      <c r="D27" s="405">
        <f t="shared" si="2"/>
        <v>38000</v>
      </c>
      <c r="E27" s="405">
        <v>38000</v>
      </c>
      <c r="F27" s="406"/>
      <c r="G27" s="407"/>
      <c r="I27" s="408">
        <f t="shared" si="3"/>
        <v>19000</v>
      </c>
      <c r="J27" s="408">
        <v>19000</v>
      </c>
      <c r="K27" s="409">
        <v>0</v>
      </c>
      <c r="L27" s="410"/>
    </row>
    <row r="28" spans="1:12" x14ac:dyDescent="0.25">
      <c r="A28" s="419" t="s">
        <v>307</v>
      </c>
      <c r="B28" s="420" t="s">
        <v>308</v>
      </c>
      <c r="C28" s="420" t="s">
        <v>309</v>
      </c>
      <c r="D28" s="421">
        <f>SUM(E28:G28)</f>
        <v>494000</v>
      </c>
      <c r="E28" s="421">
        <v>492000</v>
      </c>
      <c r="F28" s="422">
        <v>2000</v>
      </c>
      <c r="G28" s="423"/>
      <c r="I28" s="424">
        <f>SUM(J28:L28)</f>
        <v>538000</v>
      </c>
      <c r="J28" s="424">
        <v>538000</v>
      </c>
      <c r="K28" s="425"/>
      <c r="L28" s="426"/>
    </row>
    <row r="29" spans="1:12" x14ac:dyDescent="0.25">
      <c r="A29" s="419" t="s">
        <v>307</v>
      </c>
      <c r="B29" s="420" t="s">
        <v>310</v>
      </c>
      <c r="C29" s="420" t="s">
        <v>311</v>
      </c>
      <c r="D29" s="421">
        <f>SUM(E29:G29)</f>
        <v>168000</v>
      </c>
      <c r="E29" s="421">
        <v>168000</v>
      </c>
      <c r="F29" s="422"/>
      <c r="G29" s="423"/>
      <c r="I29" s="424">
        <f>SUM(J29:L29)</f>
        <v>268000</v>
      </c>
      <c r="J29" s="424">
        <v>268000</v>
      </c>
      <c r="K29" s="425"/>
      <c r="L29" s="426"/>
    </row>
    <row r="30" spans="1:12" x14ac:dyDescent="0.25">
      <c r="A30" s="427"/>
      <c r="B30" s="428" t="s">
        <v>147</v>
      </c>
      <c r="C30" s="428" t="s">
        <v>312</v>
      </c>
      <c r="D30" s="429">
        <f>SUM(E30:G30)</f>
        <v>2930000</v>
      </c>
      <c r="E30" s="430">
        <v>2930000</v>
      </c>
      <c r="F30" s="429"/>
      <c r="G30" s="431"/>
      <c r="I30" s="432">
        <f>SUM(J30:L30)</f>
        <v>2130000</v>
      </c>
      <c r="J30" s="433">
        <v>2130000</v>
      </c>
      <c r="K30" s="432"/>
      <c r="L30" s="434"/>
    </row>
    <row r="31" spans="1:12" x14ac:dyDescent="0.25">
      <c r="A31" s="427"/>
      <c r="B31" s="428" t="s">
        <v>313</v>
      </c>
      <c r="C31" s="428" t="s">
        <v>312</v>
      </c>
      <c r="D31" s="429">
        <f>SUM(E31:G31)</f>
        <v>370000</v>
      </c>
      <c r="E31" s="430">
        <v>370000</v>
      </c>
      <c r="F31" s="429"/>
      <c r="G31" s="431"/>
      <c r="I31" s="432">
        <f>SUM(J31:L31)</f>
        <v>370000</v>
      </c>
      <c r="J31" s="433">
        <v>370000</v>
      </c>
      <c r="K31" s="432"/>
      <c r="L31" s="434"/>
    </row>
    <row r="32" spans="1:12" x14ac:dyDescent="0.25">
      <c r="A32" s="403" t="s">
        <v>314</v>
      </c>
      <c r="B32" s="404" t="s">
        <v>315</v>
      </c>
      <c r="C32" s="404" t="s">
        <v>316</v>
      </c>
      <c r="D32" s="405">
        <f t="shared" ref="D32:D40" si="4">SUM(E32:G32)</f>
        <v>2100</v>
      </c>
      <c r="E32" s="405">
        <v>2100</v>
      </c>
      <c r="F32" s="406"/>
      <c r="G32" s="407"/>
      <c r="I32" s="408">
        <f t="shared" ref="I32:I40" si="5">SUM(J32:L32)</f>
        <v>44500</v>
      </c>
      <c r="J32" s="408">
        <v>2000</v>
      </c>
      <c r="K32" s="409">
        <v>42500</v>
      </c>
      <c r="L32" s="410"/>
    </row>
    <row r="33" spans="1:13" ht="15" customHeight="1" x14ac:dyDescent="0.25">
      <c r="A33" s="403" t="s">
        <v>317</v>
      </c>
      <c r="B33" s="404" t="s">
        <v>318</v>
      </c>
      <c r="C33" s="435" t="s">
        <v>319</v>
      </c>
      <c r="D33" s="436">
        <f t="shared" si="4"/>
        <v>4974000</v>
      </c>
      <c r="E33" s="436">
        <f>10353000-5394000</f>
        <v>4959000</v>
      </c>
      <c r="F33" s="437">
        <v>15000</v>
      </c>
      <c r="G33" s="438"/>
      <c r="I33" s="439">
        <f t="shared" si="5"/>
        <v>4353000</v>
      </c>
      <c r="J33" s="439">
        <v>4343000</v>
      </c>
      <c r="K33" s="440">
        <v>10000</v>
      </c>
      <c r="L33" s="441"/>
    </row>
    <row r="34" spans="1:13" x14ac:dyDescent="0.25">
      <c r="A34" s="442" t="s">
        <v>317</v>
      </c>
      <c r="B34" s="443" t="s">
        <v>385</v>
      </c>
      <c r="C34" s="435" t="s">
        <v>319</v>
      </c>
      <c r="D34" s="436">
        <f t="shared" si="4"/>
        <v>0</v>
      </c>
      <c r="E34" s="436">
        <v>0</v>
      </c>
      <c r="F34" s="437"/>
      <c r="G34" s="438"/>
      <c r="I34" s="439">
        <f t="shared" si="5"/>
        <v>5736000</v>
      </c>
      <c r="J34" s="439">
        <v>5536000</v>
      </c>
      <c r="K34" s="440">
        <v>200000</v>
      </c>
      <c r="L34" s="441"/>
    </row>
    <row r="35" spans="1:13" x14ac:dyDescent="0.25">
      <c r="A35" s="395" t="s">
        <v>317</v>
      </c>
      <c r="B35" s="396" t="s">
        <v>320</v>
      </c>
      <c r="C35" s="396" t="s">
        <v>321</v>
      </c>
      <c r="D35" s="397">
        <f>SUM(E35:G35)</f>
        <v>15201000</v>
      </c>
      <c r="E35" s="398">
        <v>15201000</v>
      </c>
      <c r="F35" s="397"/>
      <c r="G35" s="399"/>
      <c r="I35" s="400">
        <f>SUM(J35:L35)</f>
        <v>13630000</v>
      </c>
      <c r="J35" s="401">
        <v>13630000</v>
      </c>
      <c r="K35" s="400"/>
      <c r="L35" s="402"/>
      <c r="M35" s="17"/>
    </row>
    <row r="36" spans="1:13" x14ac:dyDescent="0.25">
      <c r="A36" s="403" t="s">
        <v>190</v>
      </c>
      <c r="B36" s="404" t="s">
        <v>322</v>
      </c>
      <c r="C36" s="404" t="s">
        <v>323</v>
      </c>
      <c r="D36" s="405">
        <f t="shared" si="4"/>
        <v>750000</v>
      </c>
      <c r="E36" s="405">
        <v>750000</v>
      </c>
      <c r="F36" s="406"/>
      <c r="G36" s="407"/>
      <c r="I36" s="408">
        <f t="shared" si="5"/>
        <v>650000</v>
      </c>
      <c r="J36" s="408">
        <v>650000</v>
      </c>
      <c r="K36" s="409"/>
      <c r="L36" s="410"/>
    </row>
    <row r="37" spans="1:13" x14ac:dyDescent="0.25">
      <c r="A37" s="403" t="s">
        <v>190</v>
      </c>
      <c r="B37" s="404" t="s">
        <v>324</v>
      </c>
      <c r="C37" s="404" t="s">
        <v>325</v>
      </c>
      <c r="D37" s="405">
        <f t="shared" si="4"/>
        <v>3463000</v>
      </c>
      <c r="E37" s="405">
        <v>3463000</v>
      </c>
      <c r="F37" s="406"/>
      <c r="G37" s="407"/>
      <c r="I37" s="408">
        <f t="shared" si="5"/>
        <v>2093000</v>
      </c>
      <c r="J37" s="408">
        <v>2093000</v>
      </c>
      <c r="K37" s="409"/>
      <c r="L37" s="410"/>
    </row>
    <row r="38" spans="1:13" x14ac:dyDescent="0.25">
      <c r="A38" s="403" t="s">
        <v>192</v>
      </c>
      <c r="B38" s="404" t="s">
        <v>326</v>
      </c>
      <c r="C38" s="404" t="s">
        <v>327</v>
      </c>
      <c r="D38" s="405">
        <f t="shared" si="4"/>
        <v>227000</v>
      </c>
      <c r="E38" s="405">
        <v>227000</v>
      </c>
      <c r="F38" s="406"/>
      <c r="G38" s="407"/>
      <c r="I38" s="408">
        <f t="shared" si="5"/>
        <v>212000</v>
      </c>
      <c r="J38" s="408">
        <v>212000</v>
      </c>
      <c r="K38" s="409"/>
      <c r="L38" s="410"/>
    </row>
    <row r="39" spans="1:13" x14ac:dyDescent="0.25">
      <c r="A39" s="403" t="s">
        <v>192</v>
      </c>
      <c r="B39" s="404" t="s">
        <v>328</v>
      </c>
      <c r="C39" s="404" t="s">
        <v>329</v>
      </c>
      <c r="D39" s="405">
        <f t="shared" si="4"/>
        <v>505000</v>
      </c>
      <c r="E39" s="405">
        <v>505000</v>
      </c>
      <c r="F39" s="406"/>
      <c r="G39" s="407"/>
      <c r="I39" s="408">
        <f t="shared" si="5"/>
        <v>357000</v>
      </c>
      <c r="J39" s="408">
        <v>357000</v>
      </c>
      <c r="K39" s="409"/>
      <c r="L39" s="410"/>
    </row>
    <row r="40" spans="1:13" x14ac:dyDescent="0.25">
      <c r="A40" s="403" t="s">
        <v>188</v>
      </c>
      <c r="B40" s="404" t="s">
        <v>330</v>
      </c>
      <c r="C40" s="404" t="s">
        <v>331</v>
      </c>
      <c r="D40" s="405">
        <f t="shared" si="4"/>
        <v>12000</v>
      </c>
      <c r="E40" s="405"/>
      <c r="F40" s="406">
        <v>12000</v>
      </c>
      <c r="G40" s="407"/>
      <c r="I40" s="408">
        <f t="shared" si="5"/>
        <v>12000</v>
      </c>
      <c r="J40" s="408"/>
      <c r="K40" s="409">
        <v>12000</v>
      </c>
      <c r="L40" s="410"/>
    </row>
    <row r="41" spans="1:13" x14ac:dyDescent="0.25">
      <c r="A41" s="419" t="s">
        <v>307</v>
      </c>
      <c r="B41" s="420" t="s">
        <v>332</v>
      </c>
      <c r="C41" s="420" t="s">
        <v>333</v>
      </c>
      <c r="D41" s="421">
        <f>SUM(E41:G41)</f>
        <v>280000</v>
      </c>
      <c r="E41" s="421">
        <v>280000</v>
      </c>
      <c r="F41" s="422"/>
      <c r="G41" s="423"/>
      <c r="I41" s="424">
        <f>SUM(J41:L41)</f>
        <v>339000</v>
      </c>
      <c r="J41" s="424">
        <v>339000</v>
      </c>
      <c r="K41" s="425"/>
      <c r="L41" s="426"/>
    </row>
    <row r="42" spans="1:13" x14ac:dyDescent="0.25">
      <c r="A42" s="444" t="s">
        <v>196</v>
      </c>
      <c r="B42" s="445" t="s">
        <v>334</v>
      </c>
      <c r="C42" s="445" t="s">
        <v>335</v>
      </c>
      <c r="D42" s="446">
        <f t="shared" ref="D42:D50" si="6">SUM(E42:G42)</f>
        <v>350000</v>
      </c>
      <c r="E42" s="446">
        <v>190000</v>
      </c>
      <c r="F42" s="447"/>
      <c r="G42" s="448">
        <v>160000</v>
      </c>
      <c r="I42" s="449">
        <f t="shared" ref="I42:I50" si="7">SUM(J42:L42)</f>
        <v>270000</v>
      </c>
      <c r="J42" s="449">
        <v>120000</v>
      </c>
      <c r="K42" s="450"/>
      <c r="L42" s="451">
        <v>150000</v>
      </c>
    </row>
    <row r="43" spans="1:13" x14ac:dyDescent="0.25">
      <c r="A43" s="444" t="s">
        <v>196</v>
      </c>
      <c r="B43" s="445" t="s">
        <v>336</v>
      </c>
      <c r="C43" s="445" t="s">
        <v>337</v>
      </c>
      <c r="D43" s="446">
        <f t="shared" si="6"/>
        <v>363000</v>
      </c>
      <c r="E43" s="446">
        <v>363000</v>
      </c>
      <c r="F43" s="447"/>
      <c r="G43" s="448"/>
      <c r="I43" s="449">
        <f t="shared" si="7"/>
        <v>250000</v>
      </c>
      <c r="J43" s="449">
        <v>250000</v>
      </c>
      <c r="K43" s="450"/>
      <c r="L43" s="451"/>
    </row>
    <row r="44" spans="1:13" x14ac:dyDescent="0.25">
      <c r="A44" s="444" t="s">
        <v>196</v>
      </c>
      <c r="B44" s="445" t="s">
        <v>338</v>
      </c>
      <c r="C44" s="445" t="s">
        <v>339</v>
      </c>
      <c r="D44" s="446">
        <f t="shared" si="6"/>
        <v>100000</v>
      </c>
      <c r="E44" s="446">
        <v>100000</v>
      </c>
      <c r="F44" s="447"/>
      <c r="G44" s="448"/>
      <c r="I44" s="449">
        <f t="shared" si="7"/>
        <v>100000</v>
      </c>
      <c r="J44" s="449">
        <v>100000</v>
      </c>
      <c r="K44" s="450"/>
      <c r="L44" s="451"/>
    </row>
    <row r="45" spans="1:13" x14ac:dyDescent="0.25">
      <c r="A45" s="444" t="s">
        <v>196</v>
      </c>
      <c r="B45" s="445" t="s">
        <v>340</v>
      </c>
      <c r="C45" s="445" t="s">
        <v>341</v>
      </c>
      <c r="D45" s="446">
        <f t="shared" si="6"/>
        <v>100000</v>
      </c>
      <c r="E45" s="446">
        <v>100000</v>
      </c>
      <c r="F45" s="447"/>
      <c r="G45" s="448"/>
      <c r="I45" s="449">
        <f t="shared" si="7"/>
        <v>150000</v>
      </c>
      <c r="J45" s="449">
        <v>150000</v>
      </c>
      <c r="K45" s="450"/>
      <c r="L45" s="451"/>
    </row>
    <row r="46" spans="1:13" x14ac:dyDescent="0.25">
      <c r="A46" s="444" t="s">
        <v>196</v>
      </c>
      <c r="B46" s="445" t="s">
        <v>342</v>
      </c>
      <c r="C46" s="445" t="s">
        <v>343</v>
      </c>
      <c r="D46" s="446">
        <f t="shared" si="6"/>
        <v>240000</v>
      </c>
      <c r="E46" s="446">
        <v>50000</v>
      </c>
      <c r="F46" s="447"/>
      <c r="G46" s="448">
        <v>190000</v>
      </c>
      <c r="I46" s="449">
        <f t="shared" si="7"/>
        <v>240000</v>
      </c>
      <c r="J46" s="449">
        <v>50000</v>
      </c>
      <c r="K46" s="450"/>
      <c r="L46" s="451">
        <v>190000</v>
      </c>
    </row>
    <row r="47" spans="1:13" x14ac:dyDescent="0.25">
      <c r="A47" s="444" t="s">
        <v>196</v>
      </c>
      <c r="B47" s="445" t="s">
        <v>344</v>
      </c>
      <c r="C47" s="445" t="s">
        <v>345</v>
      </c>
      <c r="D47" s="446">
        <f t="shared" si="6"/>
        <v>300000</v>
      </c>
      <c r="E47" s="446"/>
      <c r="F47" s="447">
        <v>300000</v>
      </c>
      <c r="G47" s="448"/>
      <c r="I47" s="449">
        <f t="shared" si="7"/>
        <v>320000</v>
      </c>
      <c r="J47" s="449"/>
      <c r="K47" s="450">
        <v>300000</v>
      </c>
      <c r="L47" s="451">
        <v>20000</v>
      </c>
    </row>
    <row r="48" spans="1:13" x14ac:dyDescent="0.25">
      <c r="A48" s="444" t="s">
        <v>196</v>
      </c>
      <c r="B48" s="445" t="s">
        <v>346</v>
      </c>
      <c r="C48" s="445" t="s">
        <v>347</v>
      </c>
      <c r="D48" s="446">
        <f t="shared" si="6"/>
        <v>500000</v>
      </c>
      <c r="E48" s="446">
        <v>350000</v>
      </c>
      <c r="F48" s="447"/>
      <c r="G48" s="448">
        <v>150000</v>
      </c>
      <c r="I48" s="449">
        <f t="shared" si="7"/>
        <v>500000</v>
      </c>
      <c r="J48" s="449">
        <v>350000</v>
      </c>
      <c r="K48" s="450"/>
      <c r="L48" s="451">
        <v>150000</v>
      </c>
    </row>
    <row r="49" spans="1:14" x14ac:dyDescent="0.25">
      <c r="A49" s="444" t="s">
        <v>196</v>
      </c>
      <c r="B49" s="445" t="s">
        <v>348</v>
      </c>
      <c r="C49" s="445" t="s">
        <v>349</v>
      </c>
      <c r="D49" s="446">
        <f t="shared" si="6"/>
        <v>190000</v>
      </c>
      <c r="E49" s="446">
        <v>105000</v>
      </c>
      <c r="F49" s="447"/>
      <c r="G49" s="448">
        <v>85000</v>
      </c>
      <c r="I49" s="449">
        <f t="shared" si="7"/>
        <v>550000</v>
      </c>
      <c r="J49" s="449">
        <v>250000</v>
      </c>
      <c r="K49" s="450">
        <v>300000</v>
      </c>
      <c r="L49" s="451"/>
    </row>
    <row r="50" spans="1:14" x14ac:dyDescent="0.25">
      <c r="A50" s="444" t="s">
        <v>196</v>
      </c>
      <c r="B50" s="445" t="s">
        <v>350</v>
      </c>
      <c r="C50" s="445" t="s">
        <v>351</v>
      </c>
      <c r="D50" s="446">
        <f t="shared" si="6"/>
        <v>240000</v>
      </c>
      <c r="E50" s="446">
        <v>240000</v>
      </c>
      <c r="F50" s="447"/>
      <c r="G50" s="448"/>
      <c r="I50" s="449">
        <f t="shared" si="7"/>
        <v>290000</v>
      </c>
      <c r="J50" s="449">
        <v>140000</v>
      </c>
      <c r="K50" s="450"/>
      <c r="L50" s="451">
        <v>150000</v>
      </c>
    </row>
    <row r="51" spans="1:14" x14ac:dyDescent="0.25">
      <c r="A51" s="403" t="s">
        <v>190</v>
      </c>
      <c r="B51" s="404" t="s">
        <v>352</v>
      </c>
      <c r="C51" s="404" t="s">
        <v>353</v>
      </c>
      <c r="D51" s="405">
        <f t="shared" ref="D51:D53" si="8">SUM(E51:G51)</f>
        <v>3300000</v>
      </c>
      <c r="E51" s="405">
        <v>3300000</v>
      </c>
      <c r="F51" s="406"/>
      <c r="G51" s="407"/>
      <c r="I51" s="408">
        <f t="shared" ref="I51:I53" si="9">SUM(J51:L51)</f>
        <v>2750000</v>
      </c>
      <c r="J51" s="408">
        <v>2500000</v>
      </c>
      <c r="K51" s="409"/>
      <c r="L51" s="410">
        <v>250000</v>
      </c>
    </row>
    <row r="52" spans="1:14" x14ac:dyDescent="0.25">
      <c r="A52" s="403" t="s">
        <v>192</v>
      </c>
      <c r="B52" s="404" t="s">
        <v>354</v>
      </c>
      <c r="C52" s="404" t="s">
        <v>355</v>
      </c>
      <c r="D52" s="405">
        <f t="shared" si="8"/>
        <v>94000</v>
      </c>
      <c r="E52" s="405">
        <v>94000</v>
      </c>
      <c r="F52" s="406"/>
      <c r="G52" s="407"/>
      <c r="I52" s="408">
        <f t="shared" si="9"/>
        <v>242000</v>
      </c>
      <c r="J52" s="408">
        <v>242000</v>
      </c>
      <c r="K52" s="409"/>
      <c r="L52" s="410"/>
    </row>
    <row r="53" spans="1:14" x14ac:dyDescent="0.25">
      <c r="A53" s="403" t="s">
        <v>192</v>
      </c>
      <c r="B53" s="404" t="s">
        <v>356</v>
      </c>
      <c r="C53" s="404" t="s">
        <v>357</v>
      </c>
      <c r="D53" s="405">
        <f t="shared" si="8"/>
        <v>1191000</v>
      </c>
      <c r="E53" s="405">
        <v>1191000</v>
      </c>
      <c r="F53" s="406"/>
      <c r="G53" s="407"/>
      <c r="I53" s="408">
        <f t="shared" si="9"/>
        <v>1031500</v>
      </c>
      <c r="J53" s="408">
        <v>1031500</v>
      </c>
      <c r="K53" s="409"/>
      <c r="L53" s="410"/>
    </row>
    <row r="54" spans="1:14" x14ac:dyDescent="0.25">
      <c r="A54" s="419" t="s">
        <v>307</v>
      </c>
      <c r="B54" s="420" t="s">
        <v>358</v>
      </c>
      <c r="C54" s="420" t="s">
        <v>359</v>
      </c>
      <c r="D54" s="421">
        <f>SUM(E54:G54)</f>
        <v>1058000</v>
      </c>
      <c r="E54" s="421">
        <v>1058000</v>
      </c>
      <c r="F54" s="422"/>
      <c r="G54" s="423"/>
      <c r="I54" s="424">
        <f>SUM(J54:L54)</f>
        <v>1090000</v>
      </c>
      <c r="J54" s="424">
        <v>1090000</v>
      </c>
      <c r="K54" s="425"/>
      <c r="L54" s="426"/>
    </row>
    <row r="55" spans="1:14" x14ac:dyDescent="0.25">
      <c r="A55" s="419" t="s">
        <v>307</v>
      </c>
      <c r="B55" s="420" t="s">
        <v>360</v>
      </c>
      <c r="C55" s="420" t="s">
        <v>361</v>
      </c>
      <c r="D55" s="421">
        <f t="shared" ref="D55:D63" si="10">SUM(E55:G55)</f>
        <v>1002000</v>
      </c>
      <c r="E55" s="421">
        <v>1002000</v>
      </c>
      <c r="F55" s="422"/>
      <c r="G55" s="423"/>
      <c r="I55" s="424">
        <f t="shared" ref="I55:I63" si="11">SUM(J55:L55)</f>
        <v>1059000</v>
      </c>
      <c r="J55" s="424">
        <v>1059000</v>
      </c>
      <c r="K55" s="425"/>
      <c r="L55" s="426"/>
    </row>
    <row r="56" spans="1:14" x14ac:dyDescent="0.25">
      <c r="A56" s="419" t="s">
        <v>307</v>
      </c>
      <c r="B56" s="420" t="s">
        <v>362</v>
      </c>
      <c r="C56" s="420" t="s">
        <v>363</v>
      </c>
      <c r="D56" s="421">
        <f t="shared" si="10"/>
        <v>4054000</v>
      </c>
      <c r="E56" s="421">
        <v>4054000</v>
      </c>
      <c r="F56" s="422"/>
      <c r="G56" s="423"/>
      <c r="I56" s="424">
        <f t="shared" si="11"/>
        <v>4292000</v>
      </c>
      <c r="J56" s="424">
        <v>4292000</v>
      </c>
      <c r="K56" s="425"/>
      <c r="L56" s="426"/>
    </row>
    <row r="57" spans="1:14" x14ac:dyDescent="0.25">
      <c r="A57" s="419" t="s">
        <v>307</v>
      </c>
      <c r="B57" s="420" t="s">
        <v>364</v>
      </c>
      <c r="C57" s="420" t="s">
        <v>365</v>
      </c>
      <c r="D57" s="421">
        <f t="shared" si="10"/>
        <v>967000</v>
      </c>
      <c r="E57" s="421">
        <v>967000</v>
      </c>
      <c r="F57" s="422"/>
      <c r="G57" s="423"/>
      <c r="I57" s="424">
        <f t="shared" si="11"/>
        <v>964000</v>
      </c>
      <c r="J57" s="424">
        <v>964000</v>
      </c>
      <c r="K57" s="425"/>
      <c r="L57" s="426"/>
    </row>
    <row r="58" spans="1:14" x14ac:dyDescent="0.25">
      <c r="A58" s="419" t="s">
        <v>190</v>
      </c>
      <c r="B58" s="420" t="s">
        <v>366</v>
      </c>
      <c r="C58" s="420" t="s">
        <v>367</v>
      </c>
      <c r="D58" s="421">
        <f t="shared" si="10"/>
        <v>200000</v>
      </c>
      <c r="E58" s="421">
        <v>200000</v>
      </c>
      <c r="F58" s="422"/>
      <c r="G58" s="423"/>
      <c r="I58" s="424">
        <f t="shared" si="11"/>
        <v>160000</v>
      </c>
      <c r="J58" s="424">
        <v>160000</v>
      </c>
      <c r="K58" s="425"/>
      <c r="L58" s="426"/>
    </row>
    <row r="59" spans="1:14" x14ac:dyDescent="0.25">
      <c r="A59" s="419" t="s">
        <v>307</v>
      </c>
      <c r="B59" s="420" t="s">
        <v>368</v>
      </c>
      <c r="C59" s="420" t="s">
        <v>369</v>
      </c>
      <c r="D59" s="421">
        <f t="shared" si="10"/>
        <v>470000</v>
      </c>
      <c r="E59" s="421"/>
      <c r="F59" s="422">
        <v>470000</v>
      </c>
      <c r="G59" s="423"/>
      <c r="I59" s="424">
        <f t="shared" si="11"/>
        <v>245000</v>
      </c>
      <c r="J59" s="424"/>
      <c r="K59" s="425">
        <v>245000</v>
      </c>
      <c r="L59" s="426"/>
    </row>
    <row r="60" spans="1:14" x14ac:dyDescent="0.25">
      <c r="A60" s="419" t="s">
        <v>202</v>
      </c>
      <c r="B60" s="420" t="s">
        <v>370</v>
      </c>
      <c r="C60" s="420" t="s">
        <v>371</v>
      </c>
      <c r="D60" s="421">
        <f t="shared" si="10"/>
        <v>297600</v>
      </c>
      <c r="E60" s="421">
        <v>295600</v>
      </c>
      <c r="F60" s="422">
        <v>2000</v>
      </c>
      <c r="G60" s="423"/>
      <c r="I60" s="424">
        <f t="shared" si="11"/>
        <v>257000</v>
      </c>
      <c r="J60" s="424">
        <v>255000</v>
      </c>
      <c r="K60" s="425">
        <v>2000</v>
      </c>
      <c r="L60" s="426"/>
    </row>
    <row r="61" spans="1:14" x14ac:dyDescent="0.25">
      <c r="A61" s="419" t="s">
        <v>307</v>
      </c>
      <c r="B61" s="420" t="s">
        <v>372</v>
      </c>
      <c r="C61" s="420" t="s">
        <v>373</v>
      </c>
      <c r="D61" s="421">
        <f t="shared" si="10"/>
        <v>170000</v>
      </c>
      <c r="E61" s="421">
        <v>170000</v>
      </c>
      <c r="F61" s="422"/>
      <c r="G61" s="423"/>
      <c r="I61" s="424">
        <f t="shared" si="11"/>
        <v>180000</v>
      </c>
      <c r="J61" s="424">
        <v>180000</v>
      </c>
      <c r="K61" s="425"/>
      <c r="L61" s="426"/>
    </row>
    <row r="62" spans="1:14" x14ac:dyDescent="0.25">
      <c r="A62" s="419" t="s">
        <v>307</v>
      </c>
      <c r="B62" s="420" t="s">
        <v>374</v>
      </c>
      <c r="C62" s="420" t="s">
        <v>375</v>
      </c>
      <c r="D62" s="421">
        <f t="shared" si="10"/>
        <v>668000</v>
      </c>
      <c r="E62" s="421">
        <v>668000</v>
      </c>
      <c r="F62" s="422"/>
      <c r="G62" s="423"/>
      <c r="I62" s="424">
        <f t="shared" si="11"/>
        <v>706000</v>
      </c>
      <c r="J62" s="424">
        <v>706000</v>
      </c>
      <c r="K62" s="425"/>
      <c r="L62" s="426"/>
    </row>
    <row r="63" spans="1:14" ht="15.75" thickBot="1" x14ac:dyDescent="0.3">
      <c r="A63" s="403" t="s">
        <v>216</v>
      </c>
      <c r="B63" s="404" t="s">
        <v>376</v>
      </c>
      <c r="C63" s="404" t="s">
        <v>377</v>
      </c>
      <c r="D63" s="405">
        <f t="shared" si="10"/>
        <v>68200</v>
      </c>
      <c r="E63" s="452"/>
      <c r="F63" s="406">
        <v>68200</v>
      </c>
      <c r="G63" s="407"/>
      <c r="I63" s="408">
        <f t="shared" si="11"/>
        <v>62200</v>
      </c>
      <c r="J63" s="453"/>
      <c r="K63" s="409">
        <v>62200</v>
      </c>
      <c r="L63" s="410"/>
    </row>
    <row r="64" spans="1:14" ht="15.75" thickBot="1" x14ac:dyDescent="0.3">
      <c r="A64" s="454"/>
      <c r="B64" s="455"/>
      <c r="C64" s="455" t="s">
        <v>31</v>
      </c>
      <c r="D64" s="456">
        <f>SUM(D3:D63)</f>
        <v>107271800</v>
      </c>
      <c r="E64" s="457">
        <f>SUM(E3:E63)</f>
        <v>103518600</v>
      </c>
      <c r="F64" s="458">
        <f>SUM(F3:F63)</f>
        <v>3153200</v>
      </c>
      <c r="G64" s="407">
        <f>SUM(G3:G63)</f>
        <v>600000</v>
      </c>
      <c r="I64" s="456">
        <f>SUM(I3:I63)</f>
        <v>98715800</v>
      </c>
      <c r="J64" s="457">
        <f>SUM(J3:J63)</f>
        <v>95558300</v>
      </c>
      <c r="K64" s="458">
        <f>SUM(K3:K63)</f>
        <v>2247500</v>
      </c>
      <c r="L64" s="407">
        <f>SUM(L3:L63)</f>
        <v>910000</v>
      </c>
      <c r="N64" s="17"/>
    </row>
    <row r="65" spans="1:12" x14ac:dyDescent="0.25">
      <c r="A65" s="459"/>
      <c r="B65" s="380"/>
      <c r="C65" s="460"/>
      <c r="D65" s="461"/>
      <c r="E65" s="462"/>
      <c r="F65" s="461"/>
      <c r="G65" s="463"/>
      <c r="I65" s="464"/>
      <c r="J65" s="465"/>
      <c r="K65" s="459"/>
      <c r="L65" s="466"/>
    </row>
    <row r="66" spans="1:12" x14ac:dyDescent="0.25">
      <c r="A66" s="459"/>
      <c r="D66" s="461"/>
      <c r="E66" s="462"/>
      <c r="F66" s="461"/>
      <c r="G66" s="463"/>
      <c r="I66" s="467"/>
      <c r="J66" s="468"/>
      <c r="K66" s="469"/>
      <c r="L66" s="466"/>
    </row>
    <row r="67" spans="1:12" x14ac:dyDescent="0.25">
      <c r="A67" s="459"/>
      <c r="B67" s="380"/>
      <c r="D67" s="461"/>
      <c r="E67" s="461"/>
      <c r="F67" s="461"/>
      <c r="G67" s="463"/>
    </row>
    <row r="68" spans="1:12" x14ac:dyDescent="0.25">
      <c r="A68" s="459"/>
      <c r="B68" s="380"/>
      <c r="C68" s="470"/>
      <c r="D68" s="461"/>
      <c r="E68" s="461"/>
      <c r="F68" s="461"/>
      <c r="G68" s="463"/>
    </row>
    <row r="69" spans="1:12" x14ac:dyDescent="0.25">
      <c r="A69" s="470"/>
      <c r="B69" s="380"/>
      <c r="C69" s="470"/>
      <c r="D69" s="471"/>
      <c r="E69" s="471"/>
      <c r="F69" s="471"/>
      <c r="G69" s="471"/>
      <c r="H69" s="470"/>
    </row>
    <row r="70" spans="1:12" x14ac:dyDescent="0.25">
      <c r="A70" s="459"/>
      <c r="B70" s="470"/>
      <c r="C70" s="470"/>
      <c r="D70" s="472"/>
      <c r="E70" s="461"/>
      <c r="F70" s="461"/>
      <c r="G70" s="463"/>
    </row>
    <row r="71" spans="1:12" x14ac:dyDescent="0.25">
      <c r="A71" s="459"/>
      <c r="B71" s="380"/>
      <c r="C71" s="470"/>
      <c r="D71" s="471"/>
      <c r="E71" s="461"/>
      <c r="F71" s="461"/>
      <c r="G71" s="463"/>
    </row>
    <row r="72" spans="1:12" x14ac:dyDescent="0.25">
      <c r="A72" s="459"/>
      <c r="B72" s="380"/>
      <c r="C72" s="470"/>
      <c r="D72" s="471"/>
      <c r="E72" s="461"/>
      <c r="F72" s="461"/>
      <c r="G72" s="463"/>
    </row>
    <row r="73" spans="1:12" x14ac:dyDescent="0.25">
      <c r="A73" s="459"/>
      <c r="B73" s="380"/>
      <c r="C73" s="470"/>
      <c r="D73" s="471"/>
      <c r="E73" s="461"/>
      <c r="F73" s="461"/>
      <c r="G73" s="463"/>
    </row>
    <row r="74" spans="1:12" x14ac:dyDescent="0.25">
      <c r="A74" s="459"/>
      <c r="B74" s="380"/>
      <c r="C74" s="470"/>
      <c r="D74" s="471"/>
      <c r="E74" s="461"/>
      <c r="F74" s="461"/>
      <c r="G74" s="463"/>
    </row>
    <row r="75" spans="1:12" x14ac:dyDescent="0.25">
      <c r="A75" s="459"/>
      <c r="B75" s="380"/>
      <c r="C75" s="470"/>
      <c r="D75" s="471"/>
      <c r="E75" s="461"/>
      <c r="F75" s="461"/>
      <c r="G75" s="463"/>
    </row>
    <row r="76" spans="1:12" x14ac:dyDescent="0.25">
      <c r="A76" s="459"/>
      <c r="B76" s="380"/>
      <c r="C76" s="470"/>
      <c r="D76" s="471"/>
      <c r="E76" s="461"/>
      <c r="F76" s="461"/>
      <c r="G76" s="463"/>
    </row>
    <row r="77" spans="1:12" x14ac:dyDescent="0.25">
      <c r="A77" s="459"/>
      <c r="B77" s="380"/>
      <c r="C77" s="470"/>
      <c r="D77" s="471"/>
      <c r="E77" s="461"/>
      <c r="F77" s="461"/>
      <c r="G77" s="463"/>
    </row>
    <row r="78" spans="1:12" x14ac:dyDescent="0.25">
      <c r="A78" s="459"/>
      <c r="B78" s="380"/>
      <c r="C78" s="470"/>
      <c r="D78" s="471"/>
      <c r="E78" s="461"/>
      <c r="F78" s="461"/>
      <c r="G78" s="463"/>
    </row>
    <row r="79" spans="1:12" x14ac:dyDescent="0.25">
      <c r="A79" s="459"/>
      <c r="B79" s="380"/>
      <c r="C79" s="470"/>
      <c r="D79" s="471"/>
      <c r="E79" s="461"/>
      <c r="F79" s="461"/>
      <c r="G79" s="463"/>
    </row>
    <row r="80" spans="1:12" x14ac:dyDescent="0.25">
      <c r="A80" s="459"/>
      <c r="B80" s="380"/>
      <c r="C80" s="470"/>
      <c r="D80" s="471"/>
      <c r="E80" s="461"/>
      <c r="F80" s="461"/>
      <c r="G80" s="463"/>
    </row>
    <row r="81" spans="1:7" x14ac:dyDescent="0.25">
      <c r="A81" s="459"/>
      <c r="B81" s="380"/>
      <c r="C81" s="470"/>
      <c r="D81" s="471"/>
      <c r="E81" s="461"/>
      <c r="F81" s="461"/>
      <c r="G81" s="463"/>
    </row>
    <row r="82" spans="1:7" x14ac:dyDescent="0.25">
      <c r="A82" s="459"/>
      <c r="B82" s="380"/>
      <c r="C82" s="470"/>
      <c r="D82" s="471"/>
      <c r="E82" s="461"/>
      <c r="F82" s="461"/>
      <c r="G82" s="463"/>
    </row>
    <row r="83" spans="1:7" x14ac:dyDescent="0.25">
      <c r="A83" s="459"/>
      <c r="B83" s="380"/>
      <c r="C83" s="470"/>
      <c r="D83" s="471"/>
      <c r="E83" s="461"/>
      <c r="F83" s="461"/>
      <c r="G83" s="463"/>
    </row>
    <row r="84" spans="1:7" x14ac:dyDescent="0.25">
      <c r="A84" s="459"/>
      <c r="B84" s="380"/>
      <c r="C84" s="470"/>
      <c r="D84" s="471"/>
      <c r="E84" s="461"/>
      <c r="F84" s="461"/>
      <c r="G84" s="463"/>
    </row>
    <row r="85" spans="1:7" x14ac:dyDescent="0.25">
      <c r="A85" s="459"/>
      <c r="B85" s="380"/>
      <c r="C85" s="470"/>
      <c r="D85" s="471"/>
      <c r="E85" s="461"/>
      <c r="F85" s="461"/>
      <c r="G85" s="463"/>
    </row>
    <row r="86" spans="1:7" x14ac:dyDescent="0.25">
      <c r="A86" s="459"/>
      <c r="B86" s="380"/>
      <c r="C86" s="470"/>
      <c r="D86" s="471"/>
      <c r="E86" s="461"/>
      <c r="F86" s="461"/>
      <c r="G86" s="463"/>
    </row>
    <row r="87" spans="1:7" x14ac:dyDescent="0.25">
      <c r="A87" s="459"/>
      <c r="B87" s="380"/>
      <c r="C87" s="470"/>
      <c r="D87" s="471"/>
      <c r="E87" s="461"/>
      <c r="F87" s="461"/>
      <c r="G87" s="463"/>
    </row>
    <row r="88" spans="1:7" x14ac:dyDescent="0.25">
      <c r="A88" s="459"/>
      <c r="B88" s="380"/>
      <c r="C88" s="470"/>
      <c r="D88" s="471"/>
      <c r="E88" s="461"/>
      <c r="F88" s="461"/>
      <c r="G88" s="463"/>
    </row>
    <row r="89" spans="1:7" x14ac:dyDescent="0.25">
      <c r="A89" s="459"/>
      <c r="B89" s="380"/>
      <c r="C89" s="470"/>
      <c r="D89" s="471"/>
      <c r="E89" s="461"/>
      <c r="F89" s="461"/>
      <c r="G89" s="463"/>
    </row>
    <row r="90" spans="1:7" x14ac:dyDescent="0.25">
      <c r="A90" s="459"/>
      <c r="B90" s="380"/>
      <c r="C90" s="470"/>
      <c r="D90" s="471"/>
      <c r="E90" s="461"/>
      <c r="F90" s="461"/>
      <c r="G90" s="463"/>
    </row>
    <row r="91" spans="1:7" x14ac:dyDescent="0.25">
      <c r="A91" s="459"/>
      <c r="B91" s="380"/>
      <c r="C91" s="470"/>
      <c r="D91" s="471"/>
      <c r="E91" s="461"/>
      <c r="F91" s="461"/>
      <c r="G91" s="463"/>
    </row>
    <row r="92" spans="1:7" x14ac:dyDescent="0.25">
      <c r="A92" s="459"/>
      <c r="B92" s="380"/>
      <c r="C92" s="470"/>
      <c r="D92" s="471"/>
      <c r="E92" s="461"/>
      <c r="F92" s="461"/>
      <c r="G92" s="463"/>
    </row>
    <row r="93" spans="1:7" x14ac:dyDescent="0.25">
      <c r="A93" s="459"/>
      <c r="B93" s="380"/>
      <c r="C93" s="470"/>
      <c r="D93" s="471"/>
      <c r="E93" s="461"/>
      <c r="F93" s="461"/>
      <c r="G93" s="463"/>
    </row>
    <row r="94" spans="1:7" x14ac:dyDescent="0.25">
      <c r="A94" s="459"/>
      <c r="B94" s="380"/>
      <c r="C94" s="470"/>
      <c r="D94" s="471"/>
      <c r="E94" s="461"/>
      <c r="F94" s="461"/>
      <c r="G94" s="463"/>
    </row>
    <row r="95" spans="1:7" x14ac:dyDescent="0.25">
      <c r="A95" s="459"/>
      <c r="B95" s="380"/>
      <c r="C95" s="470"/>
      <c r="D95" s="471"/>
      <c r="E95" s="461"/>
      <c r="F95" s="461"/>
      <c r="G95" s="463"/>
    </row>
    <row r="96" spans="1:7" x14ac:dyDescent="0.25">
      <c r="A96" s="459"/>
      <c r="B96" s="380"/>
      <c r="C96" s="470"/>
      <c r="D96" s="471"/>
      <c r="E96" s="461"/>
      <c r="F96" s="461"/>
      <c r="G96" s="463"/>
    </row>
    <row r="97" spans="1:7" x14ac:dyDescent="0.25">
      <c r="A97" s="459"/>
      <c r="B97" s="380"/>
      <c r="C97" s="470"/>
      <c r="D97" s="471"/>
      <c r="E97" s="461"/>
      <c r="F97" s="461"/>
      <c r="G97" s="463"/>
    </row>
    <row r="98" spans="1:7" x14ac:dyDescent="0.25">
      <c r="A98" s="459"/>
      <c r="B98" s="380"/>
      <c r="C98" s="470"/>
      <c r="D98" s="471"/>
      <c r="E98" s="461"/>
      <c r="F98" s="461"/>
      <c r="G98" s="463"/>
    </row>
    <row r="99" spans="1:7" x14ac:dyDescent="0.25">
      <c r="A99" s="459"/>
      <c r="B99" s="380"/>
      <c r="C99" s="470"/>
      <c r="D99" s="471"/>
      <c r="E99" s="461"/>
      <c r="F99" s="461"/>
      <c r="G99" s="463"/>
    </row>
    <row r="100" spans="1:7" x14ac:dyDescent="0.25">
      <c r="A100" s="459"/>
      <c r="B100" s="380"/>
      <c r="C100" s="470"/>
      <c r="D100" s="471"/>
      <c r="E100" s="461"/>
      <c r="F100" s="461"/>
      <c r="G100" s="463"/>
    </row>
    <row r="101" spans="1:7" x14ac:dyDescent="0.25">
      <c r="A101" s="459"/>
      <c r="B101" s="380"/>
      <c r="C101" s="470"/>
      <c r="D101" s="471"/>
      <c r="E101" s="461"/>
      <c r="F101" s="461"/>
      <c r="G101" s="463"/>
    </row>
    <row r="102" spans="1:7" x14ac:dyDescent="0.25">
      <c r="A102" s="459"/>
      <c r="B102" s="380"/>
      <c r="C102" s="470"/>
      <c r="D102" s="471"/>
      <c r="E102" s="461"/>
      <c r="F102" s="461"/>
      <c r="G102" s="463"/>
    </row>
    <row r="103" spans="1:7" x14ac:dyDescent="0.25">
      <c r="A103" s="459"/>
      <c r="B103" s="380"/>
      <c r="C103" s="470"/>
      <c r="D103" s="471"/>
      <c r="E103" s="461"/>
      <c r="F103" s="461"/>
      <c r="G103" s="463"/>
    </row>
    <row r="104" spans="1:7" x14ac:dyDescent="0.25">
      <c r="A104" s="459"/>
      <c r="B104" s="380"/>
      <c r="C104" s="470"/>
      <c r="D104" s="471"/>
      <c r="E104" s="461"/>
      <c r="F104" s="461"/>
      <c r="G104" s="463"/>
    </row>
    <row r="105" spans="1:7" x14ac:dyDescent="0.25">
      <c r="A105" s="459"/>
      <c r="B105" s="380"/>
      <c r="C105" s="470"/>
      <c r="D105" s="471"/>
      <c r="E105" s="461"/>
      <c r="F105" s="461"/>
      <c r="G105" s="463"/>
    </row>
    <row r="106" spans="1:7" x14ac:dyDescent="0.25">
      <c r="A106" s="459"/>
      <c r="B106" s="380"/>
      <c r="C106" s="470"/>
      <c r="D106" s="471"/>
      <c r="E106" s="461"/>
      <c r="F106" s="461"/>
      <c r="G106" s="463"/>
    </row>
    <row r="107" spans="1:7" x14ac:dyDescent="0.25">
      <c r="A107" s="459"/>
      <c r="B107" s="380"/>
      <c r="C107" s="470"/>
      <c r="D107" s="471"/>
      <c r="E107" s="461"/>
      <c r="F107" s="461"/>
      <c r="G107" s="463"/>
    </row>
    <row r="108" spans="1:7" x14ac:dyDescent="0.25">
      <c r="A108" s="459"/>
      <c r="B108" s="380"/>
      <c r="C108" s="470"/>
      <c r="D108" s="471"/>
      <c r="E108" s="461"/>
      <c r="F108" s="461"/>
      <c r="G108" s="463"/>
    </row>
    <row r="109" spans="1:7" x14ac:dyDescent="0.25">
      <c r="A109" s="459"/>
      <c r="B109" s="380"/>
      <c r="C109" s="470"/>
      <c r="D109" s="471"/>
      <c r="E109" s="461"/>
      <c r="F109" s="461"/>
      <c r="G109" s="463"/>
    </row>
    <row r="110" spans="1:7" x14ac:dyDescent="0.25">
      <c r="A110" s="459"/>
      <c r="B110" s="380"/>
      <c r="C110" s="470"/>
      <c r="D110" s="471"/>
      <c r="E110" s="461"/>
      <c r="F110" s="461"/>
      <c r="G110" s="463"/>
    </row>
    <row r="111" spans="1:7" x14ac:dyDescent="0.25">
      <c r="A111" s="459"/>
      <c r="B111" s="380"/>
      <c r="C111" s="470"/>
      <c r="D111" s="471"/>
      <c r="E111" s="461"/>
      <c r="F111" s="461"/>
      <c r="G111" s="463"/>
    </row>
    <row r="112" spans="1:7" x14ac:dyDescent="0.25">
      <c r="A112" s="459"/>
      <c r="B112" s="380"/>
      <c r="C112" s="470"/>
      <c r="D112" s="471"/>
      <c r="E112" s="461"/>
      <c r="F112" s="461"/>
      <c r="G112" s="463"/>
    </row>
    <row r="113" spans="1:7" x14ac:dyDescent="0.25">
      <c r="A113" s="459"/>
      <c r="B113" s="380"/>
      <c r="C113" s="470"/>
      <c r="D113" s="471"/>
      <c r="E113" s="461"/>
      <c r="F113" s="461"/>
      <c r="G113" s="463"/>
    </row>
    <row r="114" spans="1:7" x14ac:dyDescent="0.25">
      <c r="A114" s="459"/>
      <c r="B114" s="380"/>
      <c r="C114" s="470"/>
      <c r="D114" s="471"/>
      <c r="E114" s="461"/>
      <c r="F114" s="461"/>
      <c r="G114" s="463"/>
    </row>
    <row r="115" spans="1:7" x14ac:dyDescent="0.25">
      <c r="A115" s="459"/>
      <c r="B115" s="380"/>
      <c r="C115" s="470"/>
      <c r="D115" s="471"/>
      <c r="E115" s="461"/>
      <c r="F115" s="461"/>
      <c r="G115" s="463"/>
    </row>
    <row r="116" spans="1:7" x14ac:dyDescent="0.25">
      <c r="A116" s="459"/>
      <c r="B116" s="380"/>
      <c r="C116" s="470"/>
      <c r="D116" s="471"/>
      <c r="E116" s="461"/>
      <c r="F116" s="461"/>
      <c r="G116" s="463"/>
    </row>
    <row r="117" spans="1:7" x14ac:dyDescent="0.25">
      <c r="A117" s="459"/>
      <c r="B117" s="380"/>
      <c r="C117" s="470"/>
      <c r="D117" s="471"/>
      <c r="E117" s="461"/>
      <c r="F117" s="461"/>
      <c r="G117" s="463"/>
    </row>
    <row r="118" spans="1:7" x14ac:dyDescent="0.25">
      <c r="A118" s="380"/>
      <c r="B118" s="380"/>
      <c r="C118" s="380"/>
      <c r="D118" s="381"/>
      <c r="E118" s="381"/>
      <c r="F118" s="381"/>
      <c r="G118" s="381"/>
    </row>
    <row r="119" spans="1:7" x14ac:dyDescent="0.25">
      <c r="A119" s="459"/>
      <c r="B119" s="380"/>
      <c r="C119" s="470"/>
      <c r="D119" s="471"/>
      <c r="E119" s="461"/>
      <c r="F119" s="461"/>
      <c r="G119" s="463"/>
    </row>
    <row r="120" spans="1:7" x14ac:dyDescent="0.25">
      <c r="A120" s="380"/>
      <c r="B120" s="380"/>
      <c r="C120" s="380"/>
      <c r="D120" s="381"/>
      <c r="E120" s="381"/>
      <c r="F120" s="381"/>
      <c r="G120" s="381"/>
    </row>
    <row r="121" spans="1:7" x14ac:dyDescent="0.25">
      <c r="A121" s="380"/>
      <c r="B121" s="380"/>
      <c r="C121" s="380"/>
      <c r="D121" s="381"/>
      <c r="E121" s="381"/>
      <c r="F121" s="381"/>
      <c r="G121" s="381"/>
    </row>
    <row r="122" spans="1:7" x14ac:dyDescent="0.25">
      <c r="A122" s="459"/>
      <c r="B122" s="380"/>
      <c r="C122" s="470"/>
      <c r="D122" s="471"/>
      <c r="E122" s="461"/>
      <c r="F122" s="461"/>
      <c r="G122" s="463"/>
    </row>
    <row r="123" spans="1:7" x14ac:dyDescent="0.25">
      <c r="A123" s="459"/>
      <c r="B123" s="380"/>
      <c r="C123" s="470"/>
      <c r="D123" s="471"/>
      <c r="E123" s="461"/>
      <c r="F123" s="461"/>
      <c r="G123" s="463"/>
    </row>
    <row r="124" spans="1:7" x14ac:dyDescent="0.25">
      <c r="A124" s="459"/>
      <c r="B124" s="380"/>
      <c r="C124" s="470"/>
      <c r="D124" s="471"/>
      <c r="E124" s="461"/>
      <c r="F124" s="461"/>
      <c r="G124" s="463"/>
    </row>
    <row r="125" spans="1:7" x14ac:dyDescent="0.25">
      <c r="A125" s="459"/>
      <c r="B125" s="380"/>
      <c r="C125" s="470"/>
      <c r="D125" s="471"/>
      <c r="E125" s="461"/>
      <c r="F125" s="461"/>
      <c r="G125" s="463"/>
    </row>
    <row r="126" spans="1:7" x14ac:dyDescent="0.25">
      <c r="A126" s="473"/>
      <c r="B126" s="380"/>
      <c r="C126" s="474"/>
      <c r="D126" s="475"/>
      <c r="E126" s="476"/>
      <c r="F126" s="476"/>
      <c r="G126" s="463"/>
    </row>
    <row r="127" spans="1:7" x14ac:dyDescent="0.25">
      <c r="A127" s="459"/>
      <c r="B127" s="380"/>
      <c r="C127" s="470"/>
      <c r="D127" s="471"/>
      <c r="E127" s="461"/>
      <c r="F127" s="461"/>
      <c r="G127" s="463"/>
    </row>
    <row r="128" spans="1:7" x14ac:dyDescent="0.25">
      <c r="A128" s="459"/>
      <c r="B128" s="380"/>
      <c r="C128" s="470"/>
      <c r="D128" s="471"/>
      <c r="E128" s="461"/>
      <c r="F128" s="461"/>
      <c r="G128" s="463"/>
    </row>
    <row r="129" spans="1:7" x14ac:dyDescent="0.25">
      <c r="A129" s="380"/>
      <c r="B129" s="380"/>
      <c r="C129" s="380"/>
      <c r="D129" s="381"/>
      <c r="E129" s="381"/>
      <c r="F129" s="381"/>
      <c r="G129" s="381"/>
    </row>
    <row r="130" spans="1:7" x14ac:dyDescent="0.25">
      <c r="A130" s="459"/>
      <c r="B130" s="380"/>
      <c r="C130" s="470"/>
      <c r="D130" s="471"/>
      <c r="E130" s="461"/>
      <c r="F130" s="461"/>
      <c r="G130" s="463"/>
    </row>
    <row r="131" spans="1:7" x14ac:dyDescent="0.25">
      <c r="A131" s="459"/>
      <c r="B131" s="380"/>
      <c r="C131" s="470"/>
      <c r="D131" s="471"/>
      <c r="E131" s="461"/>
      <c r="F131" s="461"/>
      <c r="G131" s="463"/>
    </row>
    <row r="132" spans="1:7" x14ac:dyDescent="0.25">
      <c r="A132" s="459"/>
      <c r="B132" s="380"/>
      <c r="C132" s="470"/>
      <c r="D132" s="471"/>
      <c r="E132" s="461"/>
      <c r="F132" s="461"/>
      <c r="G132" s="463"/>
    </row>
    <row r="133" spans="1:7" x14ac:dyDescent="0.25">
      <c r="A133" s="459"/>
      <c r="B133" s="380"/>
      <c r="C133" s="470"/>
      <c r="D133" s="471"/>
      <c r="E133" s="461"/>
      <c r="F133" s="461"/>
      <c r="G133" s="463"/>
    </row>
  </sheetData>
  <mergeCells count="2">
    <mergeCell ref="D2:G2"/>
    <mergeCell ref="I2:L2"/>
  </mergeCells>
  <pageMargins left="0.7" right="0.7" top="0.78740157499999996" bottom="0.78740157499999996" header="0.3" footer="0.3"/>
  <pageSetup paperSize="9" scale="4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4"/>
    <pageSetUpPr fitToPage="1"/>
  </sheetPr>
  <dimension ref="A1:AJ66"/>
  <sheetViews>
    <sheetView zoomScaleNormal="100" workbookViewId="0">
      <pane xSplit="2" ySplit="3" topLeftCell="R4" activePane="bottomRight" state="frozen"/>
      <selection activeCell="L115" sqref="L115"/>
      <selection pane="topRight" activeCell="L115" sqref="L115"/>
      <selection pane="bottomLeft" activeCell="L115" sqref="L115"/>
      <selection pane="bottomRight" activeCell="AF44" sqref="AF44:AF53"/>
    </sheetView>
  </sheetViews>
  <sheetFormatPr defaultColWidth="9.140625" defaultRowHeight="15" customHeight="1" x14ac:dyDescent="0.2"/>
  <cols>
    <col min="1" max="1" width="10.42578125" style="369" customWidth="1"/>
    <col min="2" max="2" width="26" style="369" customWidth="1"/>
    <col min="3" max="3" width="10" style="369" customWidth="1"/>
    <col min="4" max="4" width="11.28515625" style="370" customWidth="1"/>
    <col min="5" max="5" width="9.7109375" style="371" customWidth="1"/>
    <col min="6" max="6" width="11.5703125" style="372" customWidth="1"/>
    <col min="7" max="7" width="11.42578125" style="371" customWidth="1"/>
    <col min="8" max="8" width="8.85546875" style="369" customWidth="1"/>
    <col min="9" max="9" width="9.28515625" style="369" customWidth="1"/>
    <col min="10" max="10" width="9.42578125" style="369" customWidth="1"/>
    <col min="11" max="11" width="11.7109375" style="373" bestFit="1" customWidth="1"/>
    <col min="12" max="12" width="10.42578125" style="373" customWidth="1"/>
    <col min="13" max="15" width="12.140625" style="369" customWidth="1"/>
    <col min="16" max="17" width="12.140625" style="375" customWidth="1"/>
    <col min="18" max="18" width="11.140625" style="369" customWidth="1"/>
    <col min="19" max="19" width="12.140625" style="369" customWidth="1"/>
    <col min="20" max="31" width="12" style="369" customWidth="1"/>
    <col min="32" max="32" width="20.5703125" style="369" customWidth="1"/>
    <col min="33" max="34" width="9.140625" style="369"/>
    <col min="35" max="35" width="10.85546875" style="369" bestFit="1" customWidth="1"/>
    <col min="36" max="16384" width="9.140625" style="369"/>
  </cols>
  <sheetData>
    <row r="1" spans="1:33" s="305" customFormat="1" ht="15" customHeight="1" x14ac:dyDescent="0.25">
      <c r="A1" s="304" t="s">
        <v>132</v>
      </c>
      <c r="D1" s="306"/>
      <c r="E1" s="307"/>
      <c r="F1" s="308"/>
      <c r="G1" s="307"/>
      <c r="K1" s="309"/>
      <c r="L1" s="309"/>
      <c r="P1" s="310"/>
      <c r="Q1" s="310"/>
    </row>
    <row r="3" spans="1:33" s="335" customFormat="1" ht="101.25" x14ac:dyDescent="0.2">
      <c r="A3" s="311" t="s">
        <v>133</v>
      </c>
      <c r="B3" s="312" t="s">
        <v>134</v>
      </c>
      <c r="C3" s="313" t="s">
        <v>135</v>
      </c>
      <c r="D3" s="314" t="s">
        <v>136</v>
      </c>
      <c r="E3" s="315" t="s">
        <v>137</v>
      </c>
      <c r="F3" s="314" t="s">
        <v>138</v>
      </c>
      <c r="G3" s="316" t="s">
        <v>139</v>
      </c>
      <c r="H3" s="317" t="s">
        <v>140</v>
      </c>
      <c r="I3" s="318" t="s">
        <v>141</v>
      </c>
      <c r="J3" s="317" t="s">
        <v>142</v>
      </c>
      <c r="K3" s="316" t="s">
        <v>143</v>
      </c>
      <c r="L3" s="319" t="s">
        <v>144</v>
      </c>
      <c r="M3" s="320" t="s">
        <v>145</v>
      </c>
      <c r="N3" s="320" t="s">
        <v>146</v>
      </c>
      <c r="O3" s="320" t="s">
        <v>147</v>
      </c>
      <c r="P3" s="320" t="s">
        <v>148</v>
      </c>
      <c r="Q3" s="320" t="s">
        <v>149</v>
      </c>
      <c r="R3" s="321" t="s">
        <v>150</v>
      </c>
      <c r="S3" s="322" t="s">
        <v>151</v>
      </c>
      <c r="T3" s="323" t="s">
        <v>152</v>
      </c>
      <c r="U3" s="323" t="s">
        <v>153</v>
      </c>
      <c r="V3" s="324" t="s">
        <v>154</v>
      </c>
      <c r="W3" s="325" t="s">
        <v>155</v>
      </c>
      <c r="X3" s="326" t="s">
        <v>156</v>
      </c>
      <c r="Y3" s="326" t="s">
        <v>157</v>
      </c>
      <c r="Z3" s="327" t="s">
        <v>158</v>
      </c>
      <c r="AA3" s="328" t="s">
        <v>159</v>
      </c>
      <c r="AB3" s="329" t="s">
        <v>160</v>
      </c>
      <c r="AC3" s="330" t="s">
        <v>161</v>
      </c>
      <c r="AD3" s="331" t="s">
        <v>162</v>
      </c>
      <c r="AE3" s="332" t="s">
        <v>163</v>
      </c>
      <c r="AF3" s="333" t="s">
        <v>164</v>
      </c>
      <c r="AG3" s="334"/>
    </row>
    <row r="4" spans="1:33" s="335" customFormat="1" ht="11.25" x14ac:dyDescent="0.2">
      <c r="A4" s="336" t="s">
        <v>165</v>
      </c>
      <c r="B4" s="337" t="s">
        <v>166</v>
      </c>
      <c r="C4" s="337"/>
      <c r="D4" s="338"/>
      <c r="E4" s="339"/>
      <c r="F4" s="340"/>
      <c r="G4" s="339"/>
      <c r="H4" s="340"/>
      <c r="I4" s="340"/>
      <c r="J4" s="340"/>
      <c r="K4" s="339"/>
      <c r="L4" s="339"/>
      <c r="M4" s="341"/>
      <c r="N4" s="341"/>
      <c r="O4" s="341"/>
      <c r="P4" s="341"/>
      <c r="Q4" s="341"/>
      <c r="R4" s="341"/>
      <c r="S4" s="341">
        <f t="shared" ref="S4:S6" si="0">P4+R4</f>
        <v>0</v>
      </c>
      <c r="T4" s="341"/>
      <c r="U4" s="341"/>
      <c r="V4" s="341"/>
      <c r="W4" s="341"/>
      <c r="X4" s="341"/>
      <c r="Y4" s="341"/>
      <c r="Z4" s="341"/>
      <c r="AA4" s="341"/>
      <c r="AB4" s="341"/>
      <c r="AC4" s="341"/>
      <c r="AD4" s="341"/>
      <c r="AE4" s="341"/>
      <c r="AF4" s="341"/>
    </row>
    <row r="5" spans="1:33" s="335" customFormat="1" ht="11.25" x14ac:dyDescent="0.2">
      <c r="A5" s="342" t="s">
        <v>165</v>
      </c>
      <c r="B5" s="343" t="s">
        <v>167</v>
      </c>
      <c r="C5" s="343"/>
      <c r="D5" s="344" t="s">
        <v>168</v>
      </c>
      <c r="E5" s="345">
        <v>566.93000000000006</v>
      </c>
      <c r="F5" s="346">
        <v>4</v>
      </c>
      <c r="G5" s="347">
        <v>2.92</v>
      </c>
      <c r="H5" s="348" t="s">
        <v>169</v>
      </c>
      <c r="I5" s="348" t="s">
        <v>169</v>
      </c>
      <c r="J5" s="348" t="s">
        <v>169</v>
      </c>
      <c r="K5" s="349" t="s">
        <v>169</v>
      </c>
      <c r="L5" s="349" t="s">
        <v>169</v>
      </c>
      <c r="M5" s="350">
        <v>785436</v>
      </c>
      <c r="N5" s="350">
        <v>2380500</v>
      </c>
      <c r="O5" s="350">
        <v>2300000</v>
      </c>
      <c r="P5" s="351">
        <f>M5+N5+O5</f>
        <v>5465936</v>
      </c>
      <c r="Q5" s="351">
        <f>M5+N5</f>
        <v>3165936</v>
      </c>
      <c r="R5" s="352"/>
      <c r="S5" s="353">
        <f t="shared" si="0"/>
        <v>5465936</v>
      </c>
      <c r="T5" s="351" t="s">
        <v>169</v>
      </c>
      <c r="U5" s="351" t="s">
        <v>169</v>
      </c>
      <c r="V5" s="351" t="s">
        <v>169</v>
      </c>
      <c r="W5" s="351" t="s">
        <v>169</v>
      </c>
      <c r="X5" s="351" t="s">
        <v>169</v>
      </c>
      <c r="Y5" s="351" t="s">
        <v>169</v>
      </c>
      <c r="Z5" s="351" t="s">
        <v>169</v>
      </c>
      <c r="AA5" s="351" t="s">
        <v>169</v>
      </c>
      <c r="AB5" s="351" t="s">
        <v>169</v>
      </c>
      <c r="AC5" s="351" t="s">
        <v>169</v>
      </c>
      <c r="AD5" s="351" t="s">
        <v>169</v>
      </c>
      <c r="AE5" s="351" t="s">
        <v>169</v>
      </c>
      <c r="AF5" s="351" t="s">
        <v>169</v>
      </c>
    </row>
    <row r="6" spans="1:33" s="335" customFormat="1" ht="11.25" x14ac:dyDescent="0.2">
      <c r="A6" s="342" t="str">
        <f t="shared" ref="A6:A40" si="1">$A$4</f>
        <v>Rektorát</v>
      </c>
      <c r="B6" s="343"/>
      <c r="C6" s="343"/>
      <c r="D6" s="344"/>
      <c r="E6" s="354"/>
      <c r="F6" s="355"/>
      <c r="G6" s="354"/>
      <c r="H6" s="348" t="s">
        <v>169</v>
      </c>
      <c r="I6" s="348" t="s">
        <v>169</v>
      </c>
      <c r="J6" s="348" t="s">
        <v>169</v>
      </c>
      <c r="K6" s="349" t="s">
        <v>169</v>
      </c>
      <c r="L6" s="349" t="s">
        <v>169</v>
      </c>
      <c r="M6" s="350"/>
      <c r="N6" s="350"/>
      <c r="O6" s="350"/>
      <c r="P6" s="351">
        <v>0</v>
      </c>
      <c r="Q6" s="351">
        <v>0</v>
      </c>
      <c r="R6" s="350"/>
      <c r="S6" s="353">
        <f t="shared" si="0"/>
        <v>0</v>
      </c>
      <c r="T6" s="351" t="s">
        <v>169</v>
      </c>
      <c r="U6" s="351" t="s">
        <v>169</v>
      </c>
      <c r="V6" s="351" t="s">
        <v>169</v>
      </c>
      <c r="W6" s="351" t="s">
        <v>169</v>
      </c>
      <c r="X6" s="351" t="s">
        <v>169</v>
      </c>
      <c r="Y6" s="351" t="s">
        <v>169</v>
      </c>
      <c r="Z6" s="351" t="s">
        <v>169</v>
      </c>
      <c r="AA6" s="351" t="s">
        <v>169</v>
      </c>
      <c r="AB6" s="351" t="s">
        <v>169</v>
      </c>
      <c r="AC6" s="351" t="s">
        <v>169</v>
      </c>
      <c r="AD6" s="351" t="s">
        <v>169</v>
      </c>
      <c r="AE6" s="351" t="s">
        <v>169</v>
      </c>
      <c r="AF6" s="351" t="s">
        <v>169</v>
      </c>
    </row>
    <row r="7" spans="1:33" s="335" customFormat="1" ht="11.25" x14ac:dyDescent="0.2">
      <c r="A7" s="342" t="str">
        <f t="shared" si="1"/>
        <v>Rektorát</v>
      </c>
      <c r="B7" s="342" t="s">
        <v>170</v>
      </c>
      <c r="C7" s="342"/>
      <c r="D7" s="356"/>
      <c r="E7" s="349">
        <f>SUM(E5)</f>
        <v>566.93000000000006</v>
      </c>
      <c r="F7" s="349">
        <f t="shared" ref="F7:G7" si="2">SUM(F5)</f>
        <v>4</v>
      </c>
      <c r="G7" s="349">
        <f t="shared" si="2"/>
        <v>2.92</v>
      </c>
      <c r="H7" s="348"/>
      <c r="I7" s="348"/>
      <c r="J7" s="348"/>
      <c r="K7" s="349"/>
      <c r="L7" s="349"/>
      <c r="M7" s="351">
        <f>SUM(M5)</f>
        <v>785436</v>
      </c>
      <c r="N7" s="351">
        <f t="shared" ref="N7:Q7" si="3">SUM(N5)</f>
        <v>2380500</v>
      </c>
      <c r="O7" s="351">
        <f t="shared" si="3"/>
        <v>2300000</v>
      </c>
      <c r="P7" s="351">
        <f t="shared" si="3"/>
        <v>5465936</v>
      </c>
      <c r="Q7" s="351">
        <f t="shared" si="3"/>
        <v>3165936</v>
      </c>
      <c r="R7" s="351">
        <v>0</v>
      </c>
      <c r="S7" s="353">
        <f t="shared" ref="S7" si="4">SUM(S5:S6)</f>
        <v>5465936</v>
      </c>
      <c r="T7" s="353">
        <f>S7</f>
        <v>5465936</v>
      </c>
      <c r="U7" s="351" t="s">
        <v>169</v>
      </c>
      <c r="V7" s="351" t="s">
        <v>169</v>
      </c>
      <c r="W7" s="351" t="s">
        <v>169</v>
      </c>
      <c r="X7" s="351" t="s">
        <v>169</v>
      </c>
      <c r="Y7" s="351" t="s">
        <v>169</v>
      </c>
      <c r="Z7" s="351" t="s">
        <v>169</v>
      </c>
      <c r="AA7" s="351" t="s">
        <v>169</v>
      </c>
      <c r="AB7" s="351" t="s">
        <v>169</v>
      </c>
      <c r="AC7" s="351" t="s">
        <v>169</v>
      </c>
      <c r="AD7" s="351" t="s">
        <v>169</v>
      </c>
      <c r="AE7" s="351" t="s">
        <v>169</v>
      </c>
      <c r="AF7" s="351" t="s">
        <v>169</v>
      </c>
    </row>
    <row r="8" spans="1:33" s="335" customFormat="1" ht="11.25" x14ac:dyDescent="0.2">
      <c r="A8" s="336"/>
      <c r="B8" s="337" t="s">
        <v>171</v>
      </c>
      <c r="C8" s="337"/>
      <c r="D8" s="338"/>
      <c r="E8" s="339"/>
      <c r="F8" s="340"/>
      <c r="G8" s="339"/>
      <c r="H8" s="340"/>
      <c r="I8" s="340"/>
      <c r="J8" s="340"/>
      <c r="K8" s="339"/>
      <c r="L8" s="339"/>
      <c r="M8" s="341"/>
      <c r="N8" s="341"/>
      <c r="O8" s="341"/>
      <c r="P8" s="341"/>
      <c r="Q8" s="341"/>
      <c r="R8" s="341"/>
      <c r="S8" s="341"/>
      <c r="T8" s="341"/>
      <c r="U8" s="341"/>
      <c r="V8" s="341"/>
      <c r="W8" s="341"/>
      <c r="X8" s="341"/>
      <c r="Y8" s="341"/>
      <c r="Z8" s="341"/>
      <c r="AA8" s="341"/>
      <c r="AB8" s="341"/>
      <c r="AC8" s="341"/>
      <c r="AD8" s="341"/>
      <c r="AE8" s="341"/>
      <c r="AF8" s="341"/>
    </row>
    <row r="9" spans="1:33" s="335" customFormat="1" ht="22.5" x14ac:dyDescent="0.2">
      <c r="A9" s="342" t="s">
        <v>172</v>
      </c>
      <c r="B9" s="343" t="s">
        <v>173</v>
      </c>
      <c r="C9" s="343"/>
      <c r="D9" s="344" t="s">
        <v>174</v>
      </c>
      <c r="E9" s="345">
        <v>576.52</v>
      </c>
      <c r="F9" s="346">
        <v>20</v>
      </c>
      <c r="G9" s="347">
        <v>18.37</v>
      </c>
      <c r="H9" s="348" t="s">
        <v>169</v>
      </c>
      <c r="I9" s="348" t="s">
        <v>169</v>
      </c>
      <c r="J9" s="348" t="s">
        <v>169</v>
      </c>
      <c r="K9" s="349" t="s">
        <v>169</v>
      </c>
      <c r="L9" s="349" t="s">
        <v>169</v>
      </c>
      <c r="M9" s="350">
        <v>6314662</v>
      </c>
      <c r="N9" s="350">
        <v>8021000</v>
      </c>
      <c r="O9" s="350">
        <v>540000</v>
      </c>
      <c r="P9" s="351">
        <f>M9+N9+O9</f>
        <v>14875662</v>
      </c>
      <c r="Q9" s="351">
        <f>M9+N9</f>
        <v>14335662</v>
      </c>
      <c r="R9" s="350"/>
      <c r="S9" s="357">
        <f t="shared" ref="S9:S10" si="5">P9+R9</f>
        <v>14875662</v>
      </c>
      <c r="T9" s="351" t="s">
        <v>169</v>
      </c>
      <c r="U9" s="351" t="s">
        <v>169</v>
      </c>
      <c r="V9" s="351" t="s">
        <v>169</v>
      </c>
      <c r="W9" s="351" t="s">
        <v>169</v>
      </c>
      <c r="X9" s="351" t="s">
        <v>169</v>
      </c>
      <c r="Y9" s="351" t="s">
        <v>169</v>
      </c>
      <c r="Z9" s="351" t="s">
        <v>169</v>
      </c>
      <c r="AA9" s="351" t="s">
        <v>169</v>
      </c>
      <c r="AB9" s="351" t="s">
        <v>169</v>
      </c>
      <c r="AC9" s="351" t="s">
        <v>169</v>
      </c>
      <c r="AD9" s="351" t="s">
        <v>169</v>
      </c>
      <c r="AE9" s="351" t="s">
        <v>169</v>
      </c>
      <c r="AF9" s="351" t="s">
        <v>169</v>
      </c>
    </row>
    <row r="10" spans="1:33" s="335" customFormat="1" ht="11.25" x14ac:dyDescent="0.2">
      <c r="A10" s="342" t="str">
        <f t="shared" si="1"/>
        <v>Rektorát</v>
      </c>
      <c r="B10" s="343"/>
      <c r="C10" s="343"/>
      <c r="D10" s="344"/>
      <c r="E10" s="354"/>
      <c r="F10" s="355"/>
      <c r="G10" s="354"/>
      <c r="H10" s="348" t="s">
        <v>169</v>
      </c>
      <c r="I10" s="348" t="s">
        <v>169</v>
      </c>
      <c r="J10" s="348" t="s">
        <v>169</v>
      </c>
      <c r="K10" s="349" t="s">
        <v>169</v>
      </c>
      <c r="L10" s="349" t="s">
        <v>169</v>
      </c>
      <c r="M10" s="350"/>
      <c r="N10" s="350"/>
      <c r="O10" s="350"/>
      <c r="P10" s="351">
        <v>0</v>
      </c>
      <c r="Q10" s="351">
        <v>0</v>
      </c>
      <c r="R10" s="350"/>
      <c r="S10" s="357">
        <f t="shared" si="5"/>
        <v>0</v>
      </c>
      <c r="T10" s="351" t="s">
        <v>169</v>
      </c>
      <c r="U10" s="351" t="s">
        <v>169</v>
      </c>
      <c r="V10" s="351" t="s">
        <v>169</v>
      </c>
      <c r="W10" s="351" t="s">
        <v>169</v>
      </c>
      <c r="X10" s="351" t="s">
        <v>169</v>
      </c>
      <c r="Y10" s="351" t="s">
        <v>169</v>
      </c>
      <c r="Z10" s="351" t="s">
        <v>169</v>
      </c>
      <c r="AA10" s="351" t="s">
        <v>169</v>
      </c>
      <c r="AB10" s="351" t="s">
        <v>169</v>
      </c>
      <c r="AC10" s="351" t="s">
        <v>169</v>
      </c>
      <c r="AD10" s="351" t="s">
        <v>169</v>
      </c>
      <c r="AE10" s="351" t="s">
        <v>169</v>
      </c>
      <c r="AF10" s="351" t="s">
        <v>169</v>
      </c>
    </row>
    <row r="11" spans="1:33" s="335" customFormat="1" ht="11.25" x14ac:dyDescent="0.2">
      <c r="A11" s="342" t="str">
        <f t="shared" si="1"/>
        <v>Rektorát</v>
      </c>
      <c r="B11" s="342" t="s">
        <v>175</v>
      </c>
      <c r="C11" s="342"/>
      <c r="D11" s="356"/>
      <c r="E11" s="349">
        <f>SUM(E9)</f>
        <v>576.52</v>
      </c>
      <c r="F11" s="349">
        <f t="shared" ref="F11:G11" si="6">SUM(F9)</f>
        <v>20</v>
      </c>
      <c r="G11" s="349">
        <f t="shared" si="6"/>
        <v>18.37</v>
      </c>
      <c r="H11" s="348"/>
      <c r="I11" s="348"/>
      <c r="J11" s="348"/>
      <c r="K11" s="349"/>
      <c r="L11" s="349"/>
      <c r="M11" s="351">
        <f>SUM(M9)</f>
        <v>6314662</v>
      </c>
      <c r="N11" s="351">
        <f t="shared" ref="N11:Q11" si="7">SUM(N9)</f>
        <v>8021000</v>
      </c>
      <c r="O11" s="351">
        <f t="shared" si="7"/>
        <v>540000</v>
      </c>
      <c r="P11" s="351">
        <f t="shared" si="7"/>
        <v>14875662</v>
      </c>
      <c r="Q11" s="351">
        <f t="shared" si="7"/>
        <v>14335662</v>
      </c>
      <c r="R11" s="351">
        <v>0</v>
      </c>
      <c r="S11" s="357">
        <f t="shared" ref="S11" si="8">SUM(S9:S10)</f>
        <v>14875662</v>
      </c>
      <c r="T11" s="351" t="s">
        <v>169</v>
      </c>
      <c r="U11" s="353">
        <f>$T$7/SUM($E$56-$E$7-$E$54-$E$35)*E11</f>
        <v>1122070.0123629114</v>
      </c>
      <c r="V11" s="357">
        <f>S11+U11</f>
        <v>15997732.012362912</v>
      </c>
      <c r="W11" s="351" t="s">
        <v>169</v>
      </c>
      <c r="X11" s="351" t="s">
        <v>169</v>
      </c>
      <c r="Y11" s="351" t="s">
        <v>169</v>
      </c>
      <c r="Z11" s="351" t="s">
        <v>169</v>
      </c>
      <c r="AA11" s="351" t="s">
        <v>169</v>
      </c>
      <c r="AB11" s="351" t="s">
        <v>169</v>
      </c>
      <c r="AC11" s="351" t="s">
        <v>169</v>
      </c>
      <c r="AD11" s="351" t="s">
        <v>169</v>
      </c>
      <c r="AE11" s="351" t="s">
        <v>169</v>
      </c>
      <c r="AF11" s="351" t="s">
        <v>169</v>
      </c>
    </row>
    <row r="12" spans="1:33" s="335" customFormat="1" ht="11.25" x14ac:dyDescent="0.2">
      <c r="A12" s="336"/>
      <c r="B12" s="337" t="s">
        <v>176</v>
      </c>
      <c r="C12" s="337"/>
      <c r="D12" s="338"/>
      <c r="E12" s="339"/>
      <c r="F12" s="340"/>
      <c r="G12" s="339"/>
      <c r="H12" s="340"/>
      <c r="I12" s="340"/>
      <c r="J12" s="340"/>
      <c r="K12" s="339"/>
      <c r="L12" s="339"/>
      <c r="M12" s="341"/>
      <c r="N12" s="341"/>
      <c r="O12" s="341"/>
      <c r="P12" s="341"/>
      <c r="Q12" s="341"/>
      <c r="R12" s="341"/>
      <c r="S12" s="341"/>
      <c r="T12" s="341"/>
      <c r="U12" s="341"/>
      <c r="V12" s="341"/>
      <c r="W12" s="341"/>
      <c r="X12" s="341"/>
      <c r="Y12" s="341"/>
      <c r="Z12" s="341"/>
      <c r="AA12" s="341"/>
      <c r="AB12" s="341"/>
      <c r="AC12" s="341"/>
      <c r="AD12" s="341"/>
      <c r="AE12" s="341"/>
      <c r="AF12" s="341"/>
    </row>
    <row r="13" spans="1:33" s="335" customFormat="1" ht="22.5" x14ac:dyDescent="0.2">
      <c r="A13" s="342" t="str">
        <f t="shared" si="1"/>
        <v>Rektorát</v>
      </c>
      <c r="B13" s="343" t="s">
        <v>177</v>
      </c>
      <c r="C13" s="343"/>
      <c r="D13" s="344" t="s">
        <v>178</v>
      </c>
      <c r="E13" s="345">
        <v>522.29</v>
      </c>
      <c r="F13" s="346">
        <v>9</v>
      </c>
      <c r="G13" s="347">
        <v>11.1</v>
      </c>
      <c r="H13" s="348" t="s">
        <v>169</v>
      </c>
      <c r="I13" s="348" t="s">
        <v>169</v>
      </c>
      <c r="J13" s="348" t="s">
        <v>169</v>
      </c>
      <c r="K13" s="349" t="s">
        <v>169</v>
      </c>
      <c r="L13" s="349" t="s">
        <v>169</v>
      </c>
      <c r="M13" s="350">
        <f>4220674+320000</f>
        <v>4540674</v>
      </c>
      <c r="N13" s="350">
        <v>947000</v>
      </c>
      <c r="O13" s="350">
        <v>170000</v>
      </c>
      <c r="P13" s="351">
        <f>M13+N13+O13</f>
        <v>5657674</v>
      </c>
      <c r="Q13" s="351">
        <f>M13+N13</f>
        <v>5487674</v>
      </c>
      <c r="R13" s="350"/>
      <c r="S13" s="358">
        <f t="shared" ref="S13:S14" si="9">P13+R13</f>
        <v>5657674</v>
      </c>
      <c r="T13" s="351" t="s">
        <v>169</v>
      </c>
      <c r="U13" s="351" t="s">
        <v>169</v>
      </c>
      <c r="V13" s="351" t="s">
        <v>169</v>
      </c>
      <c r="W13" s="351" t="s">
        <v>169</v>
      </c>
      <c r="X13" s="351" t="s">
        <v>169</v>
      </c>
      <c r="Y13" s="351" t="s">
        <v>169</v>
      </c>
      <c r="Z13" s="351" t="s">
        <v>169</v>
      </c>
      <c r="AA13" s="351" t="s">
        <v>169</v>
      </c>
      <c r="AB13" s="351" t="s">
        <v>169</v>
      </c>
      <c r="AC13" s="351" t="s">
        <v>169</v>
      </c>
      <c r="AD13" s="351" t="s">
        <v>169</v>
      </c>
      <c r="AE13" s="351" t="s">
        <v>169</v>
      </c>
      <c r="AF13" s="351" t="s">
        <v>169</v>
      </c>
    </row>
    <row r="14" spans="1:33" s="335" customFormat="1" ht="11.25" x14ac:dyDescent="0.2">
      <c r="A14" s="342" t="str">
        <f t="shared" si="1"/>
        <v>Rektorát</v>
      </c>
      <c r="B14" s="343"/>
      <c r="C14" s="343"/>
      <c r="D14" s="344"/>
      <c r="E14" s="354"/>
      <c r="F14" s="355"/>
      <c r="G14" s="354"/>
      <c r="H14" s="348" t="s">
        <v>169</v>
      </c>
      <c r="I14" s="348" t="s">
        <v>169</v>
      </c>
      <c r="J14" s="348" t="s">
        <v>169</v>
      </c>
      <c r="K14" s="349" t="s">
        <v>169</v>
      </c>
      <c r="L14" s="349" t="s">
        <v>169</v>
      </c>
      <c r="M14" s="350"/>
      <c r="N14" s="350"/>
      <c r="O14" s="350"/>
      <c r="P14" s="351">
        <v>0</v>
      </c>
      <c r="Q14" s="351">
        <v>0</v>
      </c>
      <c r="R14" s="350"/>
      <c r="S14" s="358">
        <f t="shared" si="9"/>
        <v>0</v>
      </c>
      <c r="T14" s="351" t="s">
        <v>169</v>
      </c>
      <c r="U14" s="351" t="s">
        <v>169</v>
      </c>
      <c r="V14" s="351" t="s">
        <v>169</v>
      </c>
      <c r="W14" s="351" t="s">
        <v>169</v>
      </c>
      <c r="X14" s="351" t="s">
        <v>169</v>
      </c>
      <c r="Y14" s="351" t="s">
        <v>169</v>
      </c>
      <c r="Z14" s="351" t="s">
        <v>169</v>
      </c>
      <c r="AA14" s="351" t="s">
        <v>169</v>
      </c>
      <c r="AB14" s="351" t="s">
        <v>169</v>
      </c>
      <c r="AC14" s="351" t="s">
        <v>169</v>
      </c>
      <c r="AD14" s="351" t="s">
        <v>169</v>
      </c>
      <c r="AE14" s="351" t="s">
        <v>169</v>
      </c>
      <c r="AF14" s="351" t="s">
        <v>169</v>
      </c>
    </row>
    <row r="15" spans="1:33" s="335" customFormat="1" ht="11.25" x14ac:dyDescent="0.2">
      <c r="A15" s="342" t="str">
        <f t="shared" si="1"/>
        <v>Rektorát</v>
      </c>
      <c r="B15" s="342" t="s">
        <v>179</v>
      </c>
      <c r="C15" s="342"/>
      <c r="D15" s="356"/>
      <c r="E15" s="349">
        <f>SUM(E13)</f>
        <v>522.29</v>
      </c>
      <c r="F15" s="349">
        <f t="shared" ref="F15:G15" si="10">SUM(F13)</f>
        <v>9</v>
      </c>
      <c r="G15" s="349">
        <f t="shared" si="10"/>
        <v>11.1</v>
      </c>
      <c r="H15" s="348"/>
      <c r="I15" s="348"/>
      <c r="J15" s="348"/>
      <c r="K15" s="349"/>
      <c r="L15" s="349"/>
      <c r="M15" s="351">
        <f>SUM(M13)</f>
        <v>4540674</v>
      </c>
      <c r="N15" s="351">
        <f t="shared" ref="N15:Q15" si="11">SUM(N13)</f>
        <v>947000</v>
      </c>
      <c r="O15" s="351">
        <f t="shared" si="11"/>
        <v>170000</v>
      </c>
      <c r="P15" s="351">
        <f t="shared" si="11"/>
        <v>5657674</v>
      </c>
      <c r="Q15" s="351">
        <f t="shared" si="11"/>
        <v>5487674</v>
      </c>
      <c r="R15" s="351">
        <v>0</v>
      </c>
      <c r="S15" s="358">
        <f t="shared" ref="S15" si="12">SUM(S13:S14)</f>
        <v>5657674</v>
      </c>
      <c r="T15" s="351" t="s">
        <v>169</v>
      </c>
      <c r="U15" s="353">
        <f>$T$7/SUM($E$56-$E$7-$E$54-$E$35)*E15</f>
        <v>1016523.1852442673</v>
      </c>
      <c r="V15" s="351" t="s">
        <v>169</v>
      </c>
      <c r="W15" s="357">
        <f>$V$11/SUM($F$56-$F$7-$F$11+$H$56+$I$56*0.5)*SUM(F15)</f>
        <v>15103.282084471437</v>
      </c>
      <c r="X15" s="358">
        <f>S15+U15+W15</f>
        <v>6689300.4673287394</v>
      </c>
      <c r="Y15" s="351" t="s">
        <v>169</v>
      </c>
      <c r="Z15" s="351" t="s">
        <v>169</v>
      </c>
      <c r="AA15" s="351" t="s">
        <v>169</v>
      </c>
      <c r="AB15" s="351" t="s">
        <v>169</v>
      </c>
      <c r="AC15" s="351" t="s">
        <v>169</v>
      </c>
      <c r="AD15" s="351" t="s">
        <v>169</v>
      </c>
      <c r="AE15" s="351" t="s">
        <v>169</v>
      </c>
      <c r="AF15" s="351" t="s">
        <v>169</v>
      </c>
    </row>
    <row r="16" spans="1:33" s="335" customFormat="1" ht="24.75" customHeight="1" x14ac:dyDescent="0.2">
      <c r="A16" s="336"/>
      <c r="B16" s="337" t="s">
        <v>180</v>
      </c>
      <c r="C16" s="337"/>
      <c r="D16" s="338"/>
      <c r="E16" s="339"/>
      <c r="F16" s="340"/>
      <c r="G16" s="339"/>
      <c r="H16" s="340"/>
      <c r="I16" s="340"/>
      <c r="J16" s="340"/>
      <c r="K16" s="339"/>
      <c r="L16" s="339"/>
      <c r="M16" s="341"/>
      <c r="N16" s="341"/>
      <c r="O16" s="341"/>
      <c r="P16" s="341"/>
      <c r="Q16" s="341"/>
      <c r="R16" s="341"/>
      <c r="S16" s="341"/>
      <c r="T16" s="341"/>
      <c r="U16" s="341"/>
      <c r="V16" s="341"/>
      <c r="W16" s="341"/>
      <c r="X16" s="341"/>
      <c r="Y16" s="341"/>
      <c r="Z16" s="341"/>
      <c r="AA16" s="341"/>
      <c r="AB16" s="341"/>
      <c r="AC16" s="341"/>
      <c r="AD16" s="341"/>
      <c r="AE16" s="341"/>
      <c r="AF16" s="341"/>
    </row>
    <row r="17" spans="1:32" s="335" customFormat="1" ht="11.25" x14ac:dyDescent="0.2">
      <c r="A17" s="342" t="str">
        <f t="shared" si="1"/>
        <v>Rektorát</v>
      </c>
      <c r="B17" s="343" t="s">
        <v>181</v>
      </c>
      <c r="C17" s="343"/>
      <c r="D17" s="344" t="s">
        <v>182</v>
      </c>
      <c r="E17" s="345">
        <v>49.35</v>
      </c>
      <c r="F17" s="346">
        <v>3</v>
      </c>
      <c r="G17" s="347">
        <v>1.5</v>
      </c>
      <c r="H17" s="348" t="s">
        <v>169</v>
      </c>
      <c r="I17" s="348" t="s">
        <v>169</v>
      </c>
      <c r="J17" s="348" t="s">
        <v>169</v>
      </c>
      <c r="K17" s="349" t="s">
        <v>169</v>
      </c>
      <c r="L17" s="349" t="s">
        <v>169</v>
      </c>
      <c r="M17" s="350">
        <v>1003003</v>
      </c>
      <c r="N17" s="350">
        <v>26000</v>
      </c>
      <c r="O17" s="350"/>
      <c r="P17" s="351">
        <f>M17+N17+O17</f>
        <v>1029003</v>
      </c>
      <c r="Q17" s="351">
        <f>M17+N17</f>
        <v>1029003</v>
      </c>
      <c r="R17" s="350"/>
      <c r="S17" s="359">
        <f t="shared" ref="S17:S30" si="13">P17+R17</f>
        <v>1029003</v>
      </c>
      <c r="T17" s="351" t="s">
        <v>169</v>
      </c>
      <c r="U17" s="351" t="s">
        <v>169</v>
      </c>
      <c r="V17" s="351" t="s">
        <v>169</v>
      </c>
      <c r="W17" s="351" t="s">
        <v>169</v>
      </c>
      <c r="X17" s="351" t="s">
        <v>169</v>
      </c>
      <c r="Y17" s="351" t="s">
        <v>169</v>
      </c>
      <c r="Z17" s="351" t="s">
        <v>169</v>
      </c>
      <c r="AA17" s="351" t="s">
        <v>169</v>
      </c>
      <c r="AB17" s="351" t="s">
        <v>169</v>
      </c>
      <c r="AC17" s="351" t="s">
        <v>169</v>
      </c>
      <c r="AD17" s="351" t="s">
        <v>169</v>
      </c>
      <c r="AE17" s="351" t="s">
        <v>169</v>
      </c>
      <c r="AF17" s="351" t="s">
        <v>169</v>
      </c>
    </row>
    <row r="18" spans="1:32" s="335" customFormat="1" ht="11.25" x14ac:dyDescent="0.2">
      <c r="A18" s="342" t="str">
        <f t="shared" si="1"/>
        <v>Rektorát</v>
      </c>
      <c r="B18" s="343" t="s">
        <v>183</v>
      </c>
      <c r="C18" s="343"/>
      <c r="D18" s="344" t="s">
        <v>184</v>
      </c>
      <c r="E18" s="345">
        <v>108.85</v>
      </c>
      <c r="F18" s="346">
        <v>5</v>
      </c>
      <c r="G18" s="347">
        <v>4.4000000000000004</v>
      </c>
      <c r="H18" s="348" t="s">
        <v>169</v>
      </c>
      <c r="I18" s="348" t="s">
        <v>169</v>
      </c>
      <c r="J18" s="348" t="s">
        <v>169</v>
      </c>
      <c r="K18" s="349" t="s">
        <v>169</v>
      </c>
      <c r="L18" s="349" t="s">
        <v>169</v>
      </c>
      <c r="M18" s="350">
        <v>1339565</v>
      </c>
      <c r="N18" s="350">
        <v>238000</v>
      </c>
      <c r="O18" s="350"/>
      <c r="P18" s="351">
        <f t="shared" ref="P18:P30" si="14">M18+N18+O18</f>
        <v>1577565</v>
      </c>
      <c r="Q18" s="351">
        <f t="shared" ref="Q18:Q30" si="15">M18+N18</f>
        <v>1577565</v>
      </c>
      <c r="R18" s="350"/>
      <c r="S18" s="359">
        <f t="shared" si="13"/>
        <v>1577565</v>
      </c>
      <c r="T18" s="351" t="s">
        <v>169</v>
      </c>
      <c r="U18" s="351" t="s">
        <v>169</v>
      </c>
      <c r="V18" s="351" t="s">
        <v>169</v>
      </c>
      <c r="W18" s="351" t="s">
        <v>169</v>
      </c>
      <c r="X18" s="351" t="s">
        <v>169</v>
      </c>
      <c r="Y18" s="351" t="s">
        <v>169</v>
      </c>
      <c r="Z18" s="351" t="s">
        <v>169</v>
      </c>
      <c r="AA18" s="351" t="s">
        <v>169</v>
      </c>
      <c r="AB18" s="351" t="s">
        <v>169</v>
      </c>
      <c r="AC18" s="351" t="s">
        <v>169</v>
      </c>
      <c r="AD18" s="351" t="s">
        <v>169</v>
      </c>
      <c r="AE18" s="351" t="s">
        <v>169</v>
      </c>
      <c r="AF18" s="351" t="s">
        <v>169</v>
      </c>
    </row>
    <row r="19" spans="1:32" s="335" customFormat="1" ht="11.25" x14ac:dyDescent="0.2">
      <c r="A19" s="342" t="str">
        <f t="shared" si="1"/>
        <v>Rektorát</v>
      </c>
      <c r="B19" s="343" t="s">
        <v>185</v>
      </c>
      <c r="C19" s="343"/>
      <c r="D19" s="344" t="s">
        <v>186</v>
      </c>
      <c r="E19" s="345">
        <f>224.96-E20</f>
        <v>200.67000000000002</v>
      </c>
      <c r="F19" s="346">
        <v>10</v>
      </c>
      <c r="G19" s="347">
        <v>8.98</v>
      </c>
      <c r="H19" s="348" t="s">
        <v>169</v>
      </c>
      <c r="I19" s="348" t="s">
        <v>169</v>
      </c>
      <c r="J19" s="348" t="s">
        <v>169</v>
      </c>
      <c r="K19" s="349" t="s">
        <v>169</v>
      </c>
      <c r="L19" s="349" t="s">
        <v>169</v>
      </c>
      <c r="M19" s="350">
        <v>859289</v>
      </c>
      <c r="N19" s="350">
        <v>165000</v>
      </c>
      <c r="O19" s="350"/>
      <c r="P19" s="351">
        <f t="shared" si="14"/>
        <v>1024289</v>
      </c>
      <c r="Q19" s="351">
        <f t="shared" si="15"/>
        <v>1024289</v>
      </c>
      <c r="R19" s="350"/>
      <c r="S19" s="359">
        <f t="shared" si="13"/>
        <v>1024289</v>
      </c>
      <c r="T19" s="351" t="s">
        <v>169</v>
      </c>
      <c r="U19" s="351" t="s">
        <v>169</v>
      </c>
      <c r="V19" s="351" t="s">
        <v>169</v>
      </c>
      <c r="W19" s="351" t="s">
        <v>169</v>
      </c>
      <c r="X19" s="351" t="s">
        <v>169</v>
      </c>
      <c r="Y19" s="351" t="s">
        <v>169</v>
      </c>
      <c r="Z19" s="351" t="s">
        <v>169</v>
      </c>
      <c r="AA19" s="351" t="s">
        <v>169</v>
      </c>
      <c r="AB19" s="351" t="s">
        <v>169</v>
      </c>
      <c r="AC19" s="351" t="s">
        <v>169</v>
      </c>
      <c r="AD19" s="351" t="s">
        <v>169</v>
      </c>
      <c r="AE19" s="351" t="s">
        <v>169</v>
      </c>
      <c r="AF19" s="351" t="s">
        <v>169</v>
      </c>
    </row>
    <row r="20" spans="1:32" s="335" customFormat="1" ht="11.25" x14ac:dyDescent="0.2">
      <c r="A20" s="342" t="s">
        <v>165</v>
      </c>
      <c r="B20" s="343" t="s">
        <v>187</v>
      </c>
      <c r="C20" s="343"/>
      <c r="D20" s="344" t="s">
        <v>188</v>
      </c>
      <c r="E20" s="345">
        <v>24.29</v>
      </c>
      <c r="F20" s="346">
        <v>3</v>
      </c>
      <c r="G20" s="347">
        <v>1.51</v>
      </c>
      <c r="H20" s="348" t="s">
        <v>169</v>
      </c>
      <c r="I20" s="348" t="s">
        <v>169</v>
      </c>
      <c r="J20" s="348" t="s">
        <v>169</v>
      </c>
      <c r="K20" s="349" t="s">
        <v>169</v>
      </c>
      <c r="L20" s="349" t="s">
        <v>169</v>
      </c>
      <c r="M20" s="350">
        <v>1235145</v>
      </c>
      <c r="N20" s="350">
        <v>42000</v>
      </c>
      <c r="O20" s="350"/>
      <c r="P20" s="351">
        <f t="shared" si="14"/>
        <v>1277145</v>
      </c>
      <c r="Q20" s="351">
        <f t="shared" si="15"/>
        <v>1277145</v>
      </c>
      <c r="R20" s="350"/>
      <c r="S20" s="359">
        <f t="shared" si="13"/>
        <v>1277145</v>
      </c>
      <c r="T20" s="351"/>
      <c r="U20" s="351"/>
      <c r="V20" s="351"/>
      <c r="W20" s="351"/>
      <c r="X20" s="351"/>
      <c r="Y20" s="351"/>
      <c r="Z20" s="351"/>
      <c r="AA20" s="351"/>
      <c r="AB20" s="351"/>
      <c r="AC20" s="351"/>
      <c r="AD20" s="351"/>
      <c r="AE20" s="351"/>
      <c r="AF20" s="351"/>
    </row>
    <row r="21" spans="1:32" s="335" customFormat="1" ht="11.25" x14ac:dyDescent="0.2">
      <c r="A21" s="342" t="str">
        <f t="shared" si="1"/>
        <v>Rektorát</v>
      </c>
      <c r="B21" s="343" t="s">
        <v>189</v>
      </c>
      <c r="C21" s="343"/>
      <c r="D21" s="344" t="s">
        <v>190</v>
      </c>
      <c r="E21" s="345">
        <v>117.25999999999999</v>
      </c>
      <c r="F21" s="346">
        <v>3</v>
      </c>
      <c r="G21" s="347">
        <v>3.8</v>
      </c>
      <c r="H21" s="348" t="s">
        <v>169</v>
      </c>
      <c r="I21" s="348" t="s">
        <v>169</v>
      </c>
      <c r="J21" s="348" t="s">
        <v>169</v>
      </c>
      <c r="K21" s="349" t="s">
        <v>169</v>
      </c>
      <c r="L21" s="349" t="s">
        <v>169</v>
      </c>
      <c r="M21" s="350">
        <f>3184525+323964+240</f>
        <v>3508729</v>
      </c>
      <c r="N21" s="350">
        <v>4508000</v>
      </c>
      <c r="O21" s="350"/>
      <c r="P21" s="351">
        <f t="shared" si="14"/>
        <v>8016729</v>
      </c>
      <c r="Q21" s="351">
        <f t="shared" si="15"/>
        <v>8016729</v>
      </c>
      <c r="R21" s="350"/>
      <c r="S21" s="359">
        <f t="shared" si="13"/>
        <v>8016729</v>
      </c>
      <c r="T21" s="351" t="s">
        <v>169</v>
      </c>
      <c r="U21" s="351" t="s">
        <v>169</v>
      </c>
      <c r="V21" s="351" t="s">
        <v>169</v>
      </c>
      <c r="W21" s="351" t="s">
        <v>169</v>
      </c>
      <c r="X21" s="351" t="s">
        <v>169</v>
      </c>
      <c r="Y21" s="351" t="s">
        <v>169</v>
      </c>
      <c r="Z21" s="351" t="s">
        <v>169</v>
      </c>
      <c r="AA21" s="351" t="s">
        <v>169</v>
      </c>
      <c r="AB21" s="351" t="s">
        <v>169</v>
      </c>
      <c r="AC21" s="351" t="s">
        <v>169</v>
      </c>
      <c r="AD21" s="351" t="s">
        <v>169</v>
      </c>
      <c r="AE21" s="351" t="s">
        <v>169</v>
      </c>
      <c r="AF21" s="351" t="s">
        <v>169</v>
      </c>
    </row>
    <row r="22" spans="1:32" s="335" customFormat="1" ht="11.25" x14ac:dyDescent="0.2">
      <c r="A22" s="342" t="str">
        <f t="shared" si="1"/>
        <v>Rektorát</v>
      </c>
      <c r="B22" s="343" t="s">
        <v>191</v>
      </c>
      <c r="C22" s="343"/>
      <c r="D22" s="344" t="s">
        <v>192</v>
      </c>
      <c r="E22" s="345">
        <v>593.4</v>
      </c>
      <c r="F22" s="346">
        <v>31</v>
      </c>
      <c r="G22" s="347">
        <v>29.24</v>
      </c>
      <c r="H22" s="348" t="s">
        <v>169</v>
      </c>
      <c r="I22" s="348" t="s">
        <v>169</v>
      </c>
      <c r="J22" s="348" t="s">
        <v>169</v>
      </c>
      <c r="K22" s="349" t="s">
        <v>169</v>
      </c>
      <c r="L22" s="349" t="s">
        <v>169</v>
      </c>
      <c r="M22" s="350">
        <v>10480138</v>
      </c>
      <c r="N22" s="350">
        <v>2342000</v>
      </c>
      <c r="O22" s="350"/>
      <c r="P22" s="351">
        <f t="shared" si="14"/>
        <v>12822138</v>
      </c>
      <c r="Q22" s="351">
        <f t="shared" si="15"/>
        <v>12822138</v>
      </c>
      <c r="R22" s="350"/>
      <c r="S22" s="359">
        <f t="shared" si="13"/>
        <v>12822138</v>
      </c>
      <c r="T22" s="351" t="s">
        <v>169</v>
      </c>
      <c r="U22" s="351" t="s">
        <v>169</v>
      </c>
      <c r="V22" s="351" t="s">
        <v>169</v>
      </c>
      <c r="W22" s="351" t="s">
        <v>169</v>
      </c>
      <c r="X22" s="351" t="s">
        <v>169</v>
      </c>
      <c r="Y22" s="351" t="s">
        <v>169</v>
      </c>
      <c r="Z22" s="351" t="s">
        <v>169</v>
      </c>
      <c r="AA22" s="351" t="s">
        <v>169</v>
      </c>
      <c r="AB22" s="351" t="s">
        <v>169</v>
      </c>
      <c r="AC22" s="351" t="s">
        <v>169</v>
      </c>
      <c r="AD22" s="351" t="s">
        <v>169</v>
      </c>
      <c r="AE22" s="351" t="s">
        <v>169</v>
      </c>
      <c r="AF22" s="351" t="s">
        <v>169</v>
      </c>
    </row>
    <row r="23" spans="1:32" s="335" customFormat="1" ht="11.25" x14ac:dyDescent="0.2">
      <c r="A23" s="342" t="str">
        <f t="shared" si="1"/>
        <v>Rektorát</v>
      </c>
      <c r="B23" s="343" t="s">
        <v>193</v>
      </c>
      <c r="C23" s="343"/>
      <c r="D23" s="344" t="s">
        <v>194</v>
      </c>
      <c r="E23" s="345">
        <v>98.44</v>
      </c>
      <c r="F23" s="346">
        <v>9</v>
      </c>
      <c r="G23" s="347">
        <v>7.11</v>
      </c>
      <c r="H23" s="348" t="s">
        <v>169</v>
      </c>
      <c r="I23" s="348" t="s">
        <v>169</v>
      </c>
      <c r="J23" s="348" t="s">
        <v>169</v>
      </c>
      <c r="K23" s="349" t="s">
        <v>169</v>
      </c>
      <c r="L23" s="349" t="s">
        <v>169</v>
      </c>
      <c r="M23" s="350">
        <v>1639859</v>
      </c>
      <c r="N23" s="350">
        <v>34000</v>
      </c>
      <c r="O23" s="350"/>
      <c r="P23" s="351">
        <f t="shared" si="14"/>
        <v>1673859</v>
      </c>
      <c r="Q23" s="351">
        <f t="shared" si="15"/>
        <v>1673859</v>
      </c>
      <c r="R23" s="350"/>
      <c r="S23" s="359">
        <f t="shared" si="13"/>
        <v>1673859</v>
      </c>
      <c r="T23" s="351" t="s">
        <v>169</v>
      </c>
      <c r="U23" s="351" t="s">
        <v>169</v>
      </c>
      <c r="V23" s="351" t="s">
        <v>169</v>
      </c>
      <c r="W23" s="351" t="s">
        <v>169</v>
      </c>
      <c r="X23" s="351" t="s">
        <v>169</v>
      </c>
      <c r="Y23" s="351" t="s">
        <v>169</v>
      </c>
      <c r="Z23" s="351" t="s">
        <v>169</v>
      </c>
      <c r="AA23" s="351" t="s">
        <v>169</v>
      </c>
      <c r="AB23" s="351" t="s">
        <v>169</v>
      </c>
      <c r="AC23" s="351" t="s">
        <v>169</v>
      </c>
      <c r="AD23" s="351" t="s">
        <v>169</v>
      </c>
      <c r="AE23" s="351" t="s">
        <v>169</v>
      </c>
      <c r="AF23" s="351" t="s">
        <v>169</v>
      </c>
    </row>
    <row r="24" spans="1:32" s="335" customFormat="1" ht="11.25" x14ac:dyDescent="0.2">
      <c r="A24" s="342" t="str">
        <f t="shared" si="1"/>
        <v>Rektorát</v>
      </c>
      <c r="B24" s="343" t="s">
        <v>195</v>
      </c>
      <c r="C24" s="343"/>
      <c r="D24" s="344" t="s">
        <v>196</v>
      </c>
      <c r="E24" s="345">
        <v>93.44</v>
      </c>
      <c r="F24" s="346">
        <v>5</v>
      </c>
      <c r="G24" s="347">
        <v>4.47</v>
      </c>
      <c r="H24" s="348" t="s">
        <v>169</v>
      </c>
      <c r="I24" s="348" t="s">
        <v>169</v>
      </c>
      <c r="J24" s="348" t="s">
        <v>169</v>
      </c>
      <c r="K24" s="349" t="s">
        <v>169</v>
      </c>
      <c r="L24" s="349" t="s">
        <v>169</v>
      </c>
      <c r="M24" s="350">
        <v>1388359</v>
      </c>
      <c r="N24" s="350">
        <v>1538000</v>
      </c>
      <c r="O24" s="350"/>
      <c r="P24" s="351">
        <f t="shared" si="14"/>
        <v>2926359</v>
      </c>
      <c r="Q24" s="351">
        <f t="shared" si="15"/>
        <v>2926359</v>
      </c>
      <c r="R24" s="350"/>
      <c r="S24" s="359">
        <f t="shared" si="13"/>
        <v>2926359</v>
      </c>
      <c r="T24" s="351" t="s">
        <v>169</v>
      </c>
      <c r="U24" s="351" t="s">
        <v>169</v>
      </c>
      <c r="V24" s="351" t="s">
        <v>169</v>
      </c>
      <c r="W24" s="351" t="s">
        <v>169</v>
      </c>
      <c r="X24" s="351" t="s">
        <v>169</v>
      </c>
      <c r="Y24" s="351" t="s">
        <v>169</v>
      </c>
      <c r="Z24" s="351" t="s">
        <v>169</v>
      </c>
      <c r="AA24" s="351" t="s">
        <v>169</v>
      </c>
      <c r="AB24" s="351" t="s">
        <v>169</v>
      </c>
      <c r="AC24" s="351" t="s">
        <v>169</v>
      </c>
      <c r="AD24" s="351" t="s">
        <v>169</v>
      </c>
      <c r="AE24" s="351" t="s">
        <v>169</v>
      </c>
      <c r="AF24" s="351" t="s">
        <v>169</v>
      </c>
    </row>
    <row r="25" spans="1:32" s="335" customFormat="1" ht="11.25" x14ac:dyDescent="0.2">
      <c r="A25" s="342" t="str">
        <f t="shared" si="1"/>
        <v>Rektorát</v>
      </c>
      <c r="B25" s="343" t="s">
        <v>197</v>
      </c>
      <c r="C25" s="343"/>
      <c r="D25" s="344" t="s">
        <v>198</v>
      </c>
      <c r="E25" s="345">
        <v>39.03</v>
      </c>
      <c r="F25" s="346">
        <v>3</v>
      </c>
      <c r="G25" s="347">
        <v>3.08</v>
      </c>
      <c r="H25" s="348" t="s">
        <v>169</v>
      </c>
      <c r="I25" s="348" t="s">
        <v>169</v>
      </c>
      <c r="J25" s="348" t="s">
        <v>169</v>
      </c>
      <c r="K25" s="349" t="s">
        <v>169</v>
      </c>
      <c r="L25" s="349" t="s">
        <v>169</v>
      </c>
      <c r="M25" s="352">
        <v>2335439</v>
      </c>
      <c r="N25" s="352">
        <v>61500</v>
      </c>
      <c r="O25" s="350"/>
      <c r="P25" s="351">
        <f t="shared" si="14"/>
        <v>2396939</v>
      </c>
      <c r="Q25" s="351">
        <f t="shared" si="15"/>
        <v>2396939</v>
      </c>
      <c r="R25" s="350"/>
      <c r="S25" s="359">
        <f>P25+R25</f>
        <v>2396939</v>
      </c>
      <c r="T25" s="351" t="s">
        <v>169</v>
      </c>
      <c r="U25" s="351" t="s">
        <v>169</v>
      </c>
      <c r="V25" s="351" t="s">
        <v>169</v>
      </c>
      <c r="W25" s="351" t="s">
        <v>169</v>
      </c>
      <c r="X25" s="351" t="s">
        <v>169</v>
      </c>
      <c r="Y25" s="351" t="s">
        <v>169</v>
      </c>
      <c r="Z25" s="351" t="s">
        <v>169</v>
      </c>
      <c r="AA25" s="351" t="s">
        <v>169</v>
      </c>
      <c r="AB25" s="351" t="s">
        <v>169</v>
      </c>
      <c r="AC25" s="351" t="s">
        <v>169</v>
      </c>
      <c r="AD25" s="351" t="s">
        <v>169</v>
      </c>
      <c r="AE25" s="351" t="s">
        <v>169</v>
      </c>
      <c r="AF25" s="351" t="s">
        <v>169</v>
      </c>
    </row>
    <row r="26" spans="1:32" s="335" customFormat="1" ht="11.25" x14ac:dyDescent="0.2">
      <c r="A26" s="342" t="str">
        <f t="shared" si="1"/>
        <v>Rektorát</v>
      </c>
      <c r="B26" s="343" t="s">
        <v>199</v>
      </c>
      <c r="C26" s="343"/>
      <c r="D26" s="344" t="s">
        <v>200</v>
      </c>
      <c r="E26" s="345">
        <v>95.64</v>
      </c>
      <c r="F26" s="346">
        <v>4</v>
      </c>
      <c r="G26" s="347">
        <v>4.6399999999999997</v>
      </c>
      <c r="H26" s="348" t="s">
        <v>169</v>
      </c>
      <c r="I26" s="348" t="s">
        <v>169</v>
      </c>
      <c r="J26" s="348" t="s">
        <v>169</v>
      </c>
      <c r="K26" s="349" t="s">
        <v>169</v>
      </c>
      <c r="L26" s="349" t="s">
        <v>169</v>
      </c>
      <c r="M26" s="350">
        <v>1532397</v>
      </c>
      <c r="N26" s="352">
        <v>264000</v>
      </c>
      <c r="O26" s="350"/>
      <c r="P26" s="351">
        <f t="shared" si="14"/>
        <v>1796397</v>
      </c>
      <c r="Q26" s="351">
        <f t="shared" si="15"/>
        <v>1796397</v>
      </c>
      <c r="R26" s="350"/>
      <c r="S26" s="359">
        <f>P26+R26</f>
        <v>1796397</v>
      </c>
      <c r="T26" s="351" t="s">
        <v>169</v>
      </c>
      <c r="U26" s="351" t="s">
        <v>169</v>
      </c>
      <c r="V26" s="351" t="s">
        <v>169</v>
      </c>
      <c r="W26" s="351" t="s">
        <v>169</v>
      </c>
      <c r="X26" s="351" t="s">
        <v>169</v>
      </c>
      <c r="Y26" s="351" t="s">
        <v>169</v>
      </c>
      <c r="Z26" s="351" t="s">
        <v>169</v>
      </c>
      <c r="AA26" s="351" t="s">
        <v>169</v>
      </c>
      <c r="AB26" s="351" t="s">
        <v>169</v>
      </c>
      <c r="AC26" s="351" t="s">
        <v>169</v>
      </c>
      <c r="AD26" s="351" t="s">
        <v>169</v>
      </c>
      <c r="AE26" s="351" t="s">
        <v>169</v>
      </c>
      <c r="AF26" s="351" t="s">
        <v>169</v>
      </c>
    </row>
    <row r="27" spans="1:32" s="335" customFormat="1" ht="11.25" x14ac:dyDescent="0.2">
      <c r="A27" s="342" t="str">
        <f t="shared" si="1"/>
        <v>Rektorát</v>
      </c>
      <c r="B27" s="343" t="s">
        <v>201</v>
      </c>
      <c r="C27" s="343"/>
      <c r="D27" s="344" t="s">
        <v>202</v>
      </c>
      <c r="E27" s="345">
        <v>161.22999999999999</v>
      </c>
      <c r="F27" s="346">
        <v>6</v>
      </c>
      <c r="G27" s="347">
        <v>5.84</v>
      </c>
      <c r="H27" s="348" t="s">
        <v>169</v>
      </c>
      <c r="I27" s="348" t="s">
        <v>169</v>
      </c>
      <c r="J27" s="348" t="s">
        <v>169</v>
      </c>
      <c r="K27" s="349" t="s">
        <v>169</v>
      </c>
      <c r="L27" s="349" t="s">
        <v>169</v>
      </c>
      <c r="M27" s="350">
        <v>3565887</v>
      </c>
      <c r="N27" s="352">
        <v>684500</v>
      </c>
      <c r="O27" s="350"/>
      <c r="P27" s="351">
        <f t="shared" si="14"/>
        <v>4250387</v>
      </c>
      <c r="Q27" s="351">
        <f t="shared" si="15"/>
        <v>4250387</v>
      </c>
      <c r="R27" s="350"/>
      <c r="S27" s="359">
        <f t="shared" si="13"/>
        <v>4250387</v>
      </c>
      <c r="T27" s="351" t="s">
        <v>169</v>
      </c>
      <c r="U27" s="351" t="s">
        <v>169</v>
      </c>
      <c r="V27" s="351" t="s">
        <v>169</v>
      </c>
      <c r="W27" s="351" t="s">
        <v>169</v>
      </c>
      <c r="X27" s="351" t="s">
        <v>169</v>
      </c>
      <c r="Y27" s="351" t="s">
        <v>169</v>
      </c>
      <c r="Z27" s="351" t="s">
        <v>169</v>
      </c>
      <c r="AA27" s="351" t="s">
        <v>169</v>
      </c>
      <c r="AB27" s="351" t="s">
        <v>169</v>
      </c>
      <c r="AC27" s="351" t="s">
        <v>169</v>
      </c>
      <c r="AD27" s="351" t="s">
        <v>169</v>
      </c>
      <c r="AE27" s="351" t="s">
        <v>169</v>
      </c>
      <c r="AF27" s="351" t="s">
        <v>169</v>
      </c>
    </row>
    <row r="28" spans="1:32" s="335" customFormat="1" ht="11.25" x14ac:dyDescent="0.2">
      <c r="A28" s="342" t="str">
        <f t="shared" si="1"/>
        <v>Rektorát</v>
      </c>
      <c r="B28" s="343" t="s">
        <v>203</v>
      </c>
      <c r="C28" s="336"/>
      <c r="D28" s="344" t="s">
        <v>204</v>
      </c>
      <c r="E28" s="345">
        <v>0</v>
      </c>
      <c r="F28" s="355">
        <v>1</v>
      </c>
      <c r="G28" s="354">
        <v>1.99</v>
      </c>
      <c r="H28" s="348" t="s">
        <v>169</v>
      </c>
      <c r="I28" s="348" t="s">
        <v>169</v>
      </c>
      <c r="J28" s="348" t="s">
        <v>169</v>
      </c>
      <c r="K28" s="349" t="s">
        <v>169</v>
      </c>
      <c r="L28" s="349" t="s">
        <v>169</v>
      </c>
      <c r="M28" s="350">
        <v>794111</v>
      </c>
      <c r="N28" s="350">
        <v>68000</v>
      </c>
      <c r="O28" s="350"/>
      <c r="P28" s="351">
        <f t="shared" si="14"/>
        <v>862111</v>
      </c>
      <c r="Q28" s="351">
        <f t="shared" si="15"/>
        <v>862111</v>
      </c>
      <c r="R28" s="350"/>
      <c r="S28" s="359">
        <f t="shared" si="13"/>
        <v>862111</v>
      </c>
      <c r="T28" s="351" t="s">
        <v>169</v>
      </c>
      <c r="U28" s="351" t="s">
        <v>169</v>
      </c>
      <c r="V28" s="351" t="s">
        <v>169</v>
      </c>
      <c r="W28" s="351" t="s">
        <v>169</v>
      </c>
      <c r="X28" s="351" t="s">
        <v>169</v>
      </c>
      <c r="Y28" s="351" t="s">
        <v>169</v>
      </c>
      <c r="Z28" s="351" t="s">
        <v>169</v>
      </c>
      <c r="AA28" s="351" t="s">
        <v>169</v>
      </c>
      <c r="AB28" s="351" t="s">
        <v>169</v>
      </c>
      <c r="AC28" s="351" t="s">
        <v>169</v>
      </c>
      <c r="AD28" s="351" t="s">
        <v>169</v>
      </c>
      <c r="AE28" s="351" t="s">
        <v>169</v>
      </c>
      <c r="AF28" s="351" t="s">
        <v>169</v>
      </c>
    </row>
    <row r="29" spans="1:32" s="335" customFormat="1" ht="22.5" x14ac:dyDescent="0.2">
      <c r="A29" s="342" t="str">
        <f t="shared" si="1"/>
        <v>Rektorát</v>
      </c>
      <c r="B29" s="343" t="s">
        <v>205</v>
      </c>
      <c r="C29" s="336" t="s">
        <v>206</v>
      </c>
      <c r="D29" s="344" t="s">
        <v>207</v>
      </c>
      <c r="E29" s="347">
        <v>0</v>
      </c>
      <c r="F29" s="355" t="s">
        <v>169</v>
      </c>
      <c r="G29" s="354" t="s">
        <v>169</v>
      </c>
      <c r="H29" s="348" t="s">
        <v>169</v>
      </c>
      <c r="I29" s="348" t="s">
        <v>169</v>
      </c>
      <c r="J29" s="348" t="s">
        <v>169</v>
      </c>
      <c r="K29" s="349" t="s">
        <v>169</v>
      </c>
      <c r="L29" s="349" t="s">
        <v>169</v>
      </c>
      <c r="M29" s="350">
        <v>2162593</v>
      </c>
      <c r="N29" s="350">
        <v>3463000</v>
      </c>
      <c r="O29" s="350"/>
      <c r="P29" s="351">
        <f t="shared" si="14"/>
        <v>5625593</v>
      </c>
      <c r="Q29" s="351">
        <f t="shared" si="15"/>
        <v>5625593</v>
      </c>
      <c r="R29" s="350"/>
      <c r="S29" s="359">
        <f t="shared" si="13"/>
        <v>5625593</v>
      </c>
      <c r="T29" s="351" t="s">
        <v>169</v>
      </c>
      <c r="U29" s="351" t="s">
        <v>169</v>
      </c>
      <c r="V29" s="351" t="s">
        <v>169</v>
      </c>
      <c r="W29" s="351" t="s">
        <v>169</v>
      </c>
      <c r="X29" s="351" t="s">
        <v>169</v>
      </c>
      <c r="Y29" s="351" t="s">
        <v>169</v>
      </c>
      <c r="Z29" s="351" t="s">
        <v>169</v>
      </c>
      <c r="AA29" s="351" t="s">
        <v>169</v>
      </c>
      <c r="AB29" s="351" t="s">
        <v>169</v>
      </c>
      <c r="AC29" s="351" t="s">
        <v>169</v>
      </c>
      <c r="AD29" s="351" t="s">
        <v>169</v>
      </c>
      <c r="AE29" s="351" t="s">
        <v>169</v>
      </c>
      <c r="AF29" s="351" t="s">
        <v>169</v>
      </c>
    </row>
    <row r="30" spans="1:32" s="335" customFormat="1" ht="11.25" x14ac:dyDescent="0.2">
      <c r="A30" s="342"/>
      <c r="B30" s="343"/>
      <c r="C30" s="343"/>
      <c r="D30" s="344"/>
      <c r="F30" s="355"/>
      <c r="G30" s="354"/>
      <c r="H30" s="348"/>
      <c r="I30" s="348"/>
      <c r="J30" s="348"/>
      <c r="K30" s="349"/>
      <c r="L30" s="349"/>
      <c r="M30" s="350"/>
      <c r="N30" s="350"/>
      <c r="O30" s="350"/>
      <c r="P30" s="351">
        <f t="shared" si="14"/>
        <v>0</v>
      </c>
      <c r="Q30" s="351">
        <f t="shared" si="15"/>
        <v>0</v>
      </c>
      <c r="R30" s="350"/>
      <c r="S30" s="359">
        <f t="shared" si="13"/>
        <v>0</v>
      </c>
      <c r="T30" s="351" t="s">
        <v>169</v>
      </c>
      <c r="U30" s="351" t="s">
        <v>169</v>
      </c>
      <c r="V30" s="351" t="s">
        <v>169</v>
      </c>
      <c r="W30" s="351" t="s">
        <v>169</v>
      </c>
      <c r="X30" s="351" t="s">
        <v>169</v>
      </c>
      <c r="Y30" s="351" t="s">
        <v>169</v>
      </c>
      <c r="Z30" s="351" t="s">
        <v>169</v>
      </c>
      <c r="AA30" s="351" t="s">
        <v>169</v>
      </c>
      <c r="AB30" s="351" t="s">
        <v>169</v>
      </c>
      <c r="AC30" s="351" t="s">
        <v>169</v>
      </c>
      <c r="AD30" s="351" t="s">
        <v>169</v>
      </c>
      <c r="AE30" s="351" t="s">
        <v>169</v>
      </c>
      <c r="AF30" s="351" t="s">
        <v>169</v>
      </c>
    </row>
    <row r="31" spans="1:32" s="335" customFormat="1" ht="11.25" x14ac:dyDescent="0.2">
      <c r="A31" s="342" t="str">
        <f t="shared" si="1"/>
        <v>Rektorát</v>
      </c>
      <c r="B31" s="342" t="s">
        <v>208</v>
      </c>
      <c r="C31" s="342"/>
      <c r="D31" s="356"/>
      <c r="E31" s="349">
        <f>SUM(E17:E29)</f>
        <v>1581.6000000000001</v>
      </c>
      <c r="F31" s="349">
        <f t="shared" ref="F31:G31" si="16">SUM(F17:F29)</f>
        <v>83</v>
      </c>
      <c r="G31" s="349">
        <f t="shared" si="16"/>
        <v>76.56</v>
      </c>
      <c r="H31" s="348"/>
      <c r="I31" s="348"/>
      <c r="J31" s="348"/>
      <c r="K31" s="349"/>
      <c r="L31" s="349"/>
      <c r="M31" s="351">
        <f>SUM(M17:M30)</f>
        <v>31844514</v>
      </c>
      <c r="N31" s="351">
        <f t="shared" ref="N31:Q31" si="17">SUM(N17:N30)</f>
        <v>13434000</v>
      </c>
      <c r="O31" s="351">
        <f t="shared" si="17"/>
        <v>0</v>
      </c>
      <c r="P31" s="351">
        <f t="shared" si="17"/>
        <v>45278514</v>
      </c>
      <c r="Q31" s="351">
        <f t="shared" si="17"/>
        <v>45278514</v>
      </c>
      <c r="R31" s="351">
        <v>0</v>
      </c>
      <c r="S31" s="359">
        <f>SUM(S17:S29)</f>
        <v>45278514</v>
      </c>
      <c r="T31" s="351" t="s">
        <v>169</v>
      </c>
      <c r="U31" s="353">
        <f>$T$7/SUM($E$56-$E$7-$E$54-$E$35)*E31</f>
        <v>3078238.2771684956</v>
      </c>
      <c r="V31" s="351" t="s">
        <v>169</v>
      </c>
      <c r="W31" s="357">
        <f>$V$11/SUM($F$56-$F$7-$F$11+$H$56+$I$56*0.5)*SUM(F31)</f>
        <v>139285.82366790326</v>
      </c>
      <c r="X31" s="351" t="s">
        <v>169</v>
      </c>
      <c r="Y31" s="358">
        <f>$X$15/SUM($G$56-$G$7-$G$11-$G$15)*G31</f>
        <v>373515.60137456609</v>
      </c>
      <c r="Z31" s="359">
        <f>S31+U31+W31+Y31</f>
        <v>48869553.70221097</v>
      </c>
      <c r="AA31" s="351" t="s">
        <v>169</v>
      </c>
      <c r="AB31" s="351" t="s">
        <v>169</v>
      </c>
      <c r="AC31" s="351" t="s">
        <v>169</v>
      </c>
      <c r="AD31" s="351" t="s">
        <v>169</v>
      </c>
      <c r="AE31" s="351" t="s">
        <v>169</v>
      </c>
      <c r="AF31" s="351" t="s">
        <v>169</v>
      </c>
    </row>
    <row r="32" spans="1:32" s="335" customFormat="1" ht="11.25" x14ac:dyDescent="0.2">
      <c r="A32" s="336"/>
      <c r="B32" s="337" t="s">
        <v>209</v>
      </c>
      <c r="C32" s="337"/>
      <c r="D32" s="338"/>
      <c r="E32" s="339"/>
      <c r="F32" s="340"/>
      <c r="G32" s="339"/>
      <c r="H32" s="340"/>
      <c r="I32" s="340"/>
      <c r="J32" s="340"/>
      <c r="K32" s="339"/>
      <c r="L32" s="339"/>
      <c r="M32" s="341"/>
      <c r="N32" s="341"/>
      <c r="O32" s="341"/>
      <c r="P32" s="341"/>
      <c r="Q32" s="341"/>
      <c r="R32" s="341"/>
      <c r="S32" s="341"/>
      <c r="T32" s="341"/>
      <c r="U32" s="341"/>
      <c r="V32" s="341"/>
      <c r="W32" s="341"/>
      <c r="X32" s="341"/>
      <c r="Y32" s="341"/>
      <c r="Z32" s="341"/>
      <c r="AA32" s="341"/>
      <c r="AB32" s="341"/>
      <c r="AC32" s="341"/>
      <c r="AD32" s="341"/>
      <c r="AE32" s="341"/>
      <c r="AF32" s="341"/>
    </row>
    <row r="33" spans="1:36" s="335" customFormat="1" ht="11.25" x14ac:dyDescent="0.2">
      <c r="A33" s="342" t="s">
        <v>165</v>
      </c>
      <c r="B33" s="343" t="s">
        <v>210</v>
      </c>
      <c r="C33" s="343"/>
      <c r="D33" s="344" t="s">
        <v>211</v>
      </c>
      <c r="E33" s="345">
        <v>5436.09</v>
      </c>
      <c r="F33" s="346">
        <v>33</v>
      </c>
      <c r="G33" s="347">
        <v>30.66</v>
      </c>
      <c r="H33" s="348" t="s">
        <v>169</v>
      </c>
      <c r="I33" s="348" t="s">
        <v>169</v>
      </c>
      <c r="J33" s="346"/>
      <c r="K33" s="347"/>
      <c r="L33" s="347">
        <v>0</v>
      </c>
      <c r="M33" s="350">
        <v>10640576</v>
      </c>
      <c r="N33" s="350">
        <f>4959000+2100</f>
        <v>4961100</v>
      </c>
      <c r="O33" s="350">
        <v>290000</v>
      </c>
      <c r="P33" s="351">
        <f>M33+N33+O33</f>
        <v>15891676</v>
      </c>
      <c r="Q33" s="351">
        <f>M33+N33</f>
        <v>15601676</v>
      </c>
      <c r="R33" s="350"/>
      <c r="S33" s="360">
        <f t="shared" ref="S33:S34" si="18">P33+R33</f>
        <v>15891676</v>
      </c>
      <c r="T33" s="351" t="s">
        <v>169</v>
      </c>
      <c r="U33" s="351" t="s">
        <v>169</v>
      </c>
      <c r="V33" s="351" t="s">
        <v>169</v>
      </c>
      <c r="W33" s="351" t="s">
        <v>169</v>
      </c>
      <c r="X33" s="351" t="s">
        <v>169</v>
      </c>
      <c r="Y33" s="351" t="s">
        <v>169</v>
      </c>
      <c r="Z33" s="351" t="s">
        <v>169</v>
      </c>
      <c r="AA33" s="351" t="s">
        <v>169</v>
      </c>
      <c r="AB33" s="351" t="s">
        <v>169</v>
      </c>
      <c r="AC33" s="351" t="s">
        <v>169</v>
      </c>
      <c r="AD33" s="351" t="s">
        <v>169</v>
      </c>
      <c r="AE33" s="351" t="s">
        <v>169</v>
      </c>
      <c r="AF33" s="351" t="s">
        <v>169</v>
      </c>
    </row>
    <row r="34" spans="1:36" s="335" customFormat="1" ht="11.25" x14ac:dyDescent="0.2">
      <c r="A34" s="342" t="s">
        <v>165</v>
      </c>
      <c r="B34" s="343"/>
      <c r="C34" s="343"/>
      <c r="D34" s="344"/>
      <c r="E34" s="354"/>
      <c r="F34" s="346"/>
      <c r="G34" s="347"/>
      <c r="H34" s="348" t="s">
        <v>169</v>
      </c>
      <c r="I34" s="348" t="s">
        <v>169</v>
      </c>
      <c r="J34" s="346"/>
      <c r="K34" s="347"/>
      <c r="L34" s="347"/>
      <c r="M34" s="350"/>
      <c r="N34" s="350"/>
      <c r="O34" s="350"/>
      <c r="P34" s="351">
        <v>0</v>
      </c>
      <c r="Q34" s="351">
        <v>0</v>
      </c>
      <c r="R34" s="350"/>
      <c r="S34" s="360">
        <f t="shared" si="18"/>
        <v>0</v>
      </c>
      <c r="T34" s="351" t="s">
        <v>169</v>
      </c>
      <c r="U34" s="351" t="s">
        <v>169</v>
      </c>
      <c r="V34" s="351" t="s">
        <v>169</v>
      </c>
      <c r="W34" s="351" t="s">
        <v>169</v>
      </c>
      <c r="X34" s="351" t="s">
        <v>169</v>
      </c>
      <c r="Y34" s="351" t="s">
        <v>169</v>
      </c>
      <c r="Z34" s="351" t="s">
        <v>169</v>
      </c>
      <c r="AA34" s="351" t="s">
        <v>169</v>
      </c>
      <c r="AB34" s="351" t="s">
        <v>169</v>
      </c>
      <c r="AC34" s="351" t="s">
        <v>169</v>
      </c>
      <c r="AD34" s="351" t="s">
        <v>169</v>
      </c>
      <c r="AE34" s="351" t="s">
        <v>169</v>
      </c>
      <c r="AF34" s="351" t="s">
        <v>169</v>
      </c>
    </row>
    <row r="35" spans="1:36" s="335" customFormat="1" ht="11.25" x14ac:dyDescent="0.2">
      <c r="A35" s="342" t="s">
        <v>165</v>
      </c>
      <c r="B35" s="342" t="s">
        <v>212</v>
      </c>
      <c r="C35" s="342"/>
      <c r="D35" s="356"/>
      <c r="E35" s="349">
        <f>SUM(E33)</f>
        <v>5436.09</v>
      </c>
      <c r="F35" s="349">
        <f>SUM(F33)</f>
        <v>33</v>
      </c>
      <c r="G35" s="349">
        <f>SUM(G33)</f>
        <v>30.66</v>
      </c>
      <c r="H35" s="348"/>
      <c r="I35" s="348"/>
      <c r="J35" s="348"/>
      <c r="K35" s="349"/>
      <c r="L35" s="349">
        <f>SUM(L33)</f>
        <v>0</v>
      </c>
      <c r="M35" s="351">
        <f>SUM(M33)</f>
        <v>10640576</v>
      </c>
      <c r="N35" s="351">
        <f t="shared" ref="N35:Q35" si="19">SUM(N33)</f>
        <v>4961100</v>
      </c>
      <c r="O35" s="351">
        <f t="shared" si="19"/>
        <v>290000</v>
      </c>
      <c r="P35" s="351">
        <f t="shared" si="19"/>
        <v>15891676</v>
      </c>
      <c r="Q35" s="351">
        <f t="shared" si="19"/>
        <v>15601676</v>
      </c>
      <c r="R35" s="351">
        <v>0</v>
      </c>
      <c r="S35" s="360">
        <f t="shared" ref="S35" si="20">SUM(S33:S34)</f>
        <v>15891676</v>
      </c>
      <c r="T35" s="351" t="s">
        <v>169</v>
      </c>
      <c r="U35" s="353" t="s">
        <v>169</v>
      </c>
      <c r="V35" s="351" t="s">
        <v>169</v>
      </c>
      <c r="W35" s="357">
        <f>$V$11/SUM($F$56-$F$7-$F$11+$H$56+$I$56*0.5)*SUM(F35)</f>
        <v>55378.700976395266</v>
      </c>
      <c r="X35" s="351" t="s">
        <v>169</v>
      </c>
      <c r="Y35" s="358">
        <f>$X$15/SUM($G$56-$G$7-$G$11-$G$15)*G35</f>
        <v>149581.87484514364</v>
      </c>
      <c r="Z35" s="351" t="s">
        <v>169</v>
      </c>
      <c r="AA35" s="359">
        <f>$Z$31/SUM($G$35+$G$40+$G$54)*G35</f>
        <v>1157417.4264591218</v>
      </c>
      <c r="AB35" s="361">
        <f>S35+W35+Y35+AA35</f>
        <v>17254054.00228066</v>
      </c>
      <c r="AC35" s="351" t="s">
        <v>169</v>
      </c>
      <c r="AD35" s="351"/>
      <c r="AE35" s="351" t="s">
        <v>169</v>
      </c>
      <c r="AF35" s="351" t="s">
        <v>169</v>
      </c>
    </row>
    <row r="36" spans="1:36" s="335" customFormat="1" ht="11.25" x14ac:dyDescent="0.2">
      <c r="A36" s="336"/>
      <c r="B36" s="337" t="s">
        <v>213</v>
      </c>
      <c r="C36" s="337"/>
      <c r="D36" s="338"/>
      <c r="E36" s="339"/>
      <c r="F36" s="340"/>
      <c r="G36" s="339"/>
      <c r="H36" s="340"/>
      <c r="I36" s="340"/>
      <c r="J36" s="340"/>
      <c r="K36" s="339"/>
      <c r="L36" s="339"/>
      <c r="M36" s="341"/>
      <c r="N36" s="341"/>
      <c r="O36" s="341"/>
      <c r="P36" s="341"/>
      <c r="Q36" s="341"/>
      <c r="R36" s="341"/>
      <c r="S36" s="341"/>
      <c r="T36" s="341"/>
      <c r="U36" s="341"/>
      <c r="V36" s="341"/>
      <c r="W36" s="341"/>
      <c r="X36" s="341"/>
      <c r="Y36" s="341"/>
      <c r="Z36" s="341"/>
      <c r="AA36" s="341"/>
      <c r="AB36" s="341"/>
      <c r="AC36" s="341"/>
      <c r="AD36" s="341"/>
      <c r="AE36" s="341"/>
      <c r="AF36" s="341"/>
    </row>
    <row r="37" spans="1:36" s="335" customFormat="1" ht="22.5" x14ac:dyDescent="0.2">
      <c r="A37" s="342" t="str">
        <f t="shared" ref="A37:A39" si="21">$A$4</f>
        <v>Rektorát</v>
      </c>
      <c r="B37" s="343" t="s">
        <v>214</v>
      </c>
      <c r="C37" s="343" t="s">
        <v>215</v>
      </c>
      <c r="D37" s="344" t="s">
        <v>216</v>
      </c>
      <c r="E37" s="345">
        <v>58.14</v>
      </c>
      <c r="F37" s="346">
        <v>2</v>
      </c>
      <c r="G37" s="347">
        <v>1.9999999999999998</v>
      </c>
      <c r="H37" s="348" t="s">
        <v>169</v>
      </c>
      <c r="I37" s="348" t="s">
        <v>169</v>
      </c>
      <c r="J37" s="346"/>
      <c r="K37" s="347"/>
      <c r="L37" s="347">
        <v>0</v>
      </c>
      <c r="M37" s="350">
        <v>1209518</v>
      </c>
      <c r="N37" s="350">
        <v>78000</v>
      </c>
      <c r="O37" s="350"/>
      <c r="P37" s="351">
        <f>M37+N37+O37</f>
        <v>1287518</v>
      </c>
      <c r="Q37" s="351">
        <f>M37+N37</f>
        <v>1287518</v>
      </c>
      <c r="R37" s="350"/>
      <c r="S37" s="359">
        <f>P37+R37</f>
        <v>1287518</v>
      </c>
      <c r="T37" s="351" t="s">
        <v>169</v>
      </c>
      <c r="U37" s="351" t="s">
        <v>169</v>
      </c>
      <c r="V37" s="351" t="s">
        <v>169</v>
      </c>
      <c r="W37" s="351" t="s">
        <v>169</v>
      </c>
      <c r="X37" s="351" t="s">
        <v>169</v>
      </c>
      <c r="Y37" s="351" t="s">
        <v>169</v>
      </c>
      <c r="Z37" s="351" t="s">
        <v>169</v>
      </c>
      <c r="AA37" s="351" t="s">
        <v>169</v>
      </c>
      <c r="AB37" s="351" t="s">
        <v>169</v>
      </c>
      <c r="AC37" s="351" t="s">
        <v>169</v>
      </c>
      <c r="AD37" s="351" t="s">
        <v>169</v>
      </c>
      <c r="AE37" s="351" t="s">
        <v>169</v>
      </c>
      <c r="AF37" s="351" t="s">
        <v>169</v>
      </c>
    </row>
    <row r="38" spans="1:36" s="335" customFormat="1" ht="11.25" x14ac:dyDescent="0.2">
      <c r="A38" s="342" t="s">
        <v>165</v>
      </c>
      <c r="B38" s="343" t="s">
        <v>217</v>
      </c>
      <c r="C38" s="343"/>
      <c r="D38" s="344"/>
      <c r="E38" s="345"/>
      <c r="F38" s="346"/>
      <c r="G38" s="347"/>
      <c r="H38" s="348" t="s">
        <v>169</v>
      </c>
      <c r="I38" s="348" t="s">
        <v>169</v>
      </c>
      <c r="J38" s="346"/>
      <c r="K38" s="347"/>
      <c r="L38" s="362"/>
      <c r="M38" s="350">
        <v>14223620</v>
      </c>
      <c r="N38" s="350">
        <v>838000</v>
      </c>
      <c r="O38" s="350"/>
      <c r="P38" s="351">
        <f t="shared" ref="P38:P39" si="22">M38+N38+O38</f>
        <v>15061620</v>
      </c>
      <c r="Q38" s="351">
        <f t="shared" ref="Q38:Q39" si="23">M38+N38</f>
        <v>15061620</v>
      </c>
      <c r="R38" s="350"/>
      <c r="S38" s="359">
        <f>P38+R38</f>
        <v>15061620</v>
      </c>
      <c r="T38" s="351"/>
      <c r="U38" s="351"/>
      <c r="V38" s="351"/>
      <c r="W38" s="351"/>
      <c r="X38" s="351"/>
      <c r="Y38" s="351"/>
      <c r="Z38" s="351"/>
      <c r="AA38" s="351"/>
      <c r="AB38" s="351"/>
      <c r="AC38" s="351"/>
      <c r="AD38" s="351"/>
      <c r="AE38" s="351"/>
      <c r="AF38" s="351"/>
    </row>
    <row r="39" spans="1:36" s="335" customFormat="1" ht="11.25" x14ac:dyDescent="0.2">
      <c r="A39" s="342" t="str">
        <f t="shared" si="21"/>
        <v>Rektorát</v>
      </c>
      <c r="B39" s="343" t="s">
        <v>218</v>
      </c>
      <c r="C39" s="343"/>
      <c r="D39" s="344" t="s">
        <v>219</v>
      </c>
      <c r="E39" s="345">
        <v>69.849999999999994</v>
      </c>
      <c r="F39" s="346">
        <v>4</v>
      </c>
      <c r="G39" s="347">
        <v>4.6399999999999997</v>
      </c>
      <c r="H39" s="348" t="s">
        <v>169</v>
      </c>
      <c r="I39" s="348" t="s">
        <v>169</v>
      </c>
      <c r="J39" s="346"/>
      <c r="K39" s="347"/>
      <c r="L39" s="347"/>
      <c r="M39" s="350"/>
      <c r="N39" s="350">
        <v>0</v>
      </c>
      <c r="O39" s="350"/>
      <c r="P39" s="351">
        <f t="shared" si="22"/>
        <v>0</v>
      </c>
      <c r="Q39" s="351">
        <f t="shared" si="23"/>
        <v>0</v>
      </c>
      <c r="R39" s="350"/>
      <c r="S39" s="360">
        <f t="shared" ref="S39" si="24">P39+R39</f>
        <v>0</v>
      </c>
      <c r="T39" s="351" t="s">
        <v>169</v>
      </c>
      <c r="U39" s="351" t="s">
        <v>169</v>
      </c>
      <c r="V39" s="351" t="s">
        <v>169</v>
      </c>
      <c r="W39" s="351" t="s">
        <v>169</v>
      </c>
      <c r="X39" s="351" t="s">
        <v>169</v>
      </c>
      <c r="Y39" s="351" t="s">
        <v>169</v>
      </c>
      <c r="Z39" s="351" t="s">
        <v>169</v>
      </c>
      <c r="AA39" s="351" t="s">
        <v>169</v>
      </c>
      <c r="AB39" s="351" t="s">
        <v>169</v>
      </c>
      <c r="AC39" s="351" t="s">
        <v>169</v>
      </c>
      <c r="AD39" s="351" t="s">
        <v>169</v>
      </c>
      <c r="AE39" s="351" t="s">
        <v>169</v>
      </c>
      <c r="AF39" s="351" t="s">
        <v>169</v>
      </c>
    </row>
    <row r="40" spans="1:36" s="335" customFormat="1" ht="11.25" x14ac:dyDescent="0.2">
      <c r="A40" s="342" t="str">
        <f t="shared" si="1"/>
        <v>Rektorát</v>
      </c>
      <c r="B40" s="342" t="s">
        <v>220</v>
      </c>
      <c r="C40" s="342"/>
      <c r="D40" s="356"/>
      <c r="E40" s="349">
        <f>SUM(E37:E39)</f>
        <v>127.99</v>
      </c>
      <c r="F40" s="349">
        <f t="shared" ref="F40:G40" si="25">SUM(F37:F39)</f>
        <v>6</v>
      </c>
      <c r="G40" s="349">
        <f t="shared" si="25"/>
        <v>6.64</v>
      </c>
      <c r="H40" s="348"/>
      <c r="I40" s="348"/>
      <c r="J40" s="348"/>
      <c r="K40" s="349"/>
      <c r="L40" s="349">
        <f>SUM(L37:L39)</f>
        <v>0</v>
      </c>
      <c r="M40" s="351">
        <f>SUM(M37:M39)</f>
        <v>15433138</v>
      </c>
      <c r="N40" s="351">
        <f t="shared" ref="N40:Q40" si="26">SUM(N37:N39)</f>
        <v>916000</v>
      </c>
      <c r="O40" s="351">
        <f t="shared" si="26"/>
        <v>0</v>
      </c>
      <c r="P40" s="351">
        <f t="shared" si="26"/>
        <v>16349138</v>
      </c>
      <c r="Q40" s="351">
        <f t="shared" si="26"/>
        <v>16349138</v>
      </c>
      <c r="R40" s="351">
        <v>0</v>
      </c>
      <c r="S40" s="360">
        <f t="shared" ref="S40:Z40" si="27">SUM(S37:S39)</f>
        <v>16349138</v>
      </c>
      <c r="T40" s="351">
        <f t="shared" si="27"/>
        <v>0</v>
      </c>
      <c r="U40" s="353">
        <f>$T$7/SUM($E$56-$E$7-$E$54-$E$35)*E40</f>
        <v>249104.52522432705</v>
      </c>
      <c r="V40" s="351">
        <f t="shared" si="27"/>
        <v>0</v>
      </c>
      <c r="W40" s="357">
        <f>$V$11/SUM($F$56-$F$7-$F$11+$H$56+$I$56*0.5)*SUM(F40)</f>
        <v>10068.854722980957</v>
      </c>
      <c r="X40" s="351">
        <f t="shared" si="27"/>
        <v>0</v>
      </c>
      <c r="Y40" s="358">
        <f>$X$15/SUM($G$56-$G$7-$G$11-$G$15)*G40</f>
        <v>32394.770025171354</v>
      </c>
      <c r="Z40" s="351">
        <f t="shared" si="27"/>
        <v>0</v>
      </c>
      <c r="AA40" s="359">
        <f>$Z$31/SUM($G$35+$G$40+$G$54)*G40</f>
        <v>250660.52549538709</v>
      </c>
      <c r="AB40" s="351">
        <f t="shared" ref="AB40" si="28">SUM(AB37:AB39)</f>
        <v>0</v>
      </c>
      <c r="AC40" s="361" t="s">
        <v>169</v>
      </c>
      <c r="AD40" s="360">
        <f>S40+U40+W40+Y40+AA40</f>
        <v>16891366.675467864</v>
      </c>
      <c r="AE40" s="351" t="s">
        <v>169</v>
      </c>
      <c r="AF40" s="351" t="s">
        <v>169</v>
      </c>
    </row>
    <row r="41" spans="1:36" s="335" customFormat="1" ht="11.25" x14ac:dyDescent="0.2">
      <c r="A41" s="342" t="s">
        <v>165</v>
      </c>
      <c r="B41" s="342" t="s">
        <v>221</v>
      </c>
      <c r="C41" s="342"/>
      <c r="D41" s="356"/>
      <c r="E41" s="349">
        <f>E7+E11+E15+E31+E35+E40</f>
        <v>8811.42</v>
      </c>
      <c r="F41" s="349">
        <f t="shared" ref="F41:G41" si="29">F7+F11+F15+F31+F35+F40</f>
        <v>155</v>
      </c>
      <c r="G41" s="349">
        <f t="shared" si="29"/>
        <v>146.25</v>
      </c>
      <c r="H41" s="348"/>
      <c r="I41" s="348"/>
      <c r="J41" s="348"/>
      <c r="K41" s="349"/>
      <c r="L41" s="349"/>
      <c r="M41" s="351">
        <f>M7+M11+M15+M31+M35+M40</f>
        <v>69559000</v>
      </c>
      <c r="N41" s="351">
        <f>N7+N11+N15+N31+N35+N40</f>
        <v>30659600</v>
      </c>
      <c r="O41" s="351">
        <f t="shared" ref="O41:Q41" si="30">O7+O11+O15+O31+O35+O40</f>
        <v>3300000</v>
      </c>
      <c r="P41" s="351">
        <f t="shared" si="30"/>
        <v>103518600</v>
      </c>
      <c r="Q41" s="351">
        <f t="shared" si="30"/>
        <v>100218600</v>
      </c>
      <c r="R41" s="351">
        <v>0</v>
      </c>
      <c r="S41" s="360">
        <f t="shared" ref="S41" si="31">S7+S11+S15+S31+S35+S40</f>
        <v>103518600</v>
      </c>
      <c r="T41" s="351"/>
      <c r="U41" s="353"/>
      <c r="V41" s="351"/>
      <c r="W41" s="357"/>
      <c r="X41" s="351"/>
      <c r="Y41" s="358"/>
      <c r="Z41" s="351"/>
      <c r="AA41" s="359"/>
      <c r="AB41" s="351"/>
      <c r="AC41" s="361"/>
      <c r="AD41" s="360"/>
      <c r="AE41" s="351"/>
      <c r="AF41" s="351"/>
    </row>
    <row r="42" spans="1:36" s="335" customFormat="1" ht="33.75" x14ac:dyDescent="0.2">
      <c r="A42" s="336"/>
      <c r="B42" s="337" t="s">
        <v>222</v>
      </c>
      <c r="C42" s="337"/>
      <c r="D42" s="338"/>
      <c r="E42" s="339"/>
      <c r="F42" s="339"/>
      <c r="G42" s="339"/>
      <c r="H42" s="340"/>
      <c r="I42" s="340"/>
      <c r="J42" s="340"/>
      <c r="K42" s="339"/>
      <c r="L42" s="339"/>
      <c r="M42" s="341"/>
      <c r="N42" s="341"/>
      <c r="O42" s="341"/>
      <c r="P42" s="341"/>
      <c r="Q42" s="341"/>
      <c r="R42" s="341"/>
      <c r="S42" s="341"/>
      <c r="T42" s="341"/>
      <c r="U42" s="341"/>
      <c r="V42" s="341"/>
      <c r="W42" s="341"/>
      <c r="X42" s="341"/>
      <c r="Y42" s="341"/>
      <c r="Z42" s="341"/>
      <c r="AA42" s="341"/>
      <c r="AB42" s="341"/>
      <c r="AC42" s="341"/>
      <c r="AD42" s="341"/>
      <c r="AE42" s="341"/>
      <c r="AF42" s="341"/>
      <c r="AH42" s="334"/>
      <c r="AI42" s="334"/>
      <c r="AJ42" s="334"/>
    </row>
    <row r="43" spans="1:36" s="335" customFormat="1" ht="11.25" x14ac:dyDescent="0.2">
      <c r="A43" s="342"/>
      <c r="B43" s="336" t="s">
        <v>223</v>
      </c>
      <c r="C43" s="343"/>
      <c r="D43" s="344" t="s">
        <v>224</v>
      </c>
      <c r="E43" s="347" t="s">
        <v>11</v>
      </c>
      <c r="F43" s="348"/>
      <c r="G43" s="348"/>
      <c r="H43" s="348"/>
      <c r="I43" s="348"/>
      <c r="J43" s="348"/>
      <c r="K43" s="349"/>
      <c r="L43" s="349"/>
      <c r="M43" s="352"/>
      <c r="N43" s="352"/>
      <c r="O43" s="352"/>
      <c r="P43" s="351">
        <v>0</v>
      </c>
      <c r="Q43" s="351">
        <v>0</v>
      </c>
      <c r="R43" s="350"/>
      <c r="S43" s="351">
        <f t="shared" ref="S43:S53" si="32">P43+R43</f>
        <v>0</v>
      </c>
      <c r="T43" s="351" t="s">
        <v>169</v>
      </c>
      <c r="U43" s="353"/>
      <c r="V43" s="351" t="s">
        <v>169</v>
      </c>
      <c r="W43" s="357">
        <f>$V$11/SUM($F$56-$F$7-$F$11+$H$56+$I$56*0.5)*SUM(F43)</f>
        <v>0</v>
      </c>
      <c r="X43" s="351" t="s">
        <v>169</v>
      </c>
      <c r="Y43" s="358">
        <f t="shared" ref="Y43:Y53" si="33">$X$15/SUM($G$56-$G$7-$G$11-$G$15)*G43</f>
        <v>0</v>
      </c>
      <c r="Z43" s="351" t="s">
        <v>169</v>
      </c>
      <c r="AA43" s="359">
        <f t="shared" ref="AA43:AA53" si="34">$Z$31/SUM($G$35+$G$40+$G$54)*G43</f>
        <v>0</v>
      </c>
      <c r="AB43" s="351" t="s">
        <v>169</v>
      </c>
      <c r="AC43" s="361">
        <f t="shared" ref="AC43:AC52" si="35">$AB$35/SUM(($F$54-$F$53),$H$54,$I$54*0.5)*SUM(F43,H43,I43*0.5)</f>
        <v>0</v>
      </c>
      <c r="AD43" s="351" t="s">
        <v>169</v>
      </c>
      <c r="AE43" s="360" t="s">
        <v>169</v>
      </c>
      <c r="AF43" s="351">
        <f>SUM(Q43,U43,W43,Y43,AA43,AC43,AE43)</f>
        <v>0</v>
      </c>
      <c r="AH43" s="334"/>
      <c r="AI43" s="334"/>
      <c r="AJ43" s="334"/>
    </row>
    <row r="44" spans="1:36" s="335" customFormat="1" ht="11.25" x14ac:dyDescent="0.2">
      <c r="A44" s="342"/>
      <c r="B44" s="336" t="s">
        <v>225</v>
      </c>
      <c r="C44" s="343"/>
      <c r="D44" s="344" t="s">
        <v>226</v>
      </c>
      <c r="E44" s="347" t="s">
        <v>11</v>
      </c>
      <c r="F44" s="348"/>
      <c r="G44" s="348"/>
      <c r="H44" s="348"/>
      <c r="I44" s="348"/>
      <c r="J44" s="348"/>
      <c r="K44" s="349"/>
      <c r="L44" s="349"/>
      <c r="M44" s="352"/>
      <c r="N44" s="352"/>
      <c r="O44" s="352"/>
      <c r="P44" s="351">
        <v>0</v>
      </c>
      <c r="Q44" s="351">
        <v>0</v>
      </c>
      <c r="R44" s="350"/>
      <c r="S44" s="351">
        <f t="shared" si="32"/>
        <v>0</v>
      </c>
      <c r="T44" s="351" t="s">
        <v>169</v>
      </c>
      <c r="U44" s="353"/>
      <c r="V44" s="351" t="s">
        <v>169</v>
      </c>
      <c r="W44" s="357">
        <f>$V$11/SUM($F$56-$F$7-$F$11+$H$56+$I$56*0.5)*SUM(F44)</f>
        <v>0</v>
      </c>
      <c r="X44" s="351" t="s">
        <v>169</v>
      </c>
      <c r="Y44" s="358">
        <f t="shared" si="33"/>
        <v>0</v>
      </c>
      <c r="Z44" s="351" t="s">
        <v>169</v>
      </c>
      <c r="AA44" s="359">
        <f t="shared" si="34"/>
        <v>0</v>
      </c>
      <c r="AB44" s="351" t="s">
        <v>169</v>
      </c>
      <c r="AC44" s="361">
        <f t="shared" si="35"/>
        <v>0</v>
      </c>
      <c r="AD44" s="351" t="s">
        <v>169</v>
      </c>
      <c r="AE44" s="360" t="s">
        <v>169</v>
      </c>
      <c r="AF44" s="351">
        <f t="shared" ref="AF44:AF53" si="36">SUM(Q44,U44,W44,Y44,AA44,AC44,AE44)</f>
        <v>0</v>
      </c>
      <c r="AH44" s="334"/>
      <c r="AI44" s="334"/>
      <c r="AJ44" s="334"/>
    </row>
    <row r="45" spans="1:36" s="335" customFormat="1" ht="11.25" x14ac:dyDescent="0.2">
      <c r="A45" s="342"/>
      <c r="B45" s="343" t="s">
        <v>0</v>
      </c>
      <c r="C45" s="343"/>
      <c r="D45" s="344" t="s">
        <v>227</v>
      </c>
      <c r="E45" s="347" t="s">
        <v>11</v>
      </c>
      <c r="F45" s="346">
        <v>114</v>
      </c>
      <c r="G45" s="347">
        <v>105.15</v>
      </c>
      <c r="H45" s="346">
        <v>917</v>
      </c>
      <c r="I45" s="346">
        <v>328</v>
      </c>
      <c r="J45" s="346">
        <v>11</v>
      </c>
      <c r="K45" s="363">
        <v>10548171.390000001</v>
      </c>
      <c r="L45" s="347">
        <v>2.09</v>
      </c>
      <c r="M45" s="350"/>
      <c r="N45" s="350"/>
      <c r="O45" s="350"/>
      <c r="P45" s="351">
        <v>0</v>
      </c>
      <c r="Q45" s="351">
        <v>0</v>
      </c>
      <c r="R45" s="350"/>
      <c r="S45" s="351">
        <f t="shared" si="32"/>
        <v>0</v>
      </c>
      <c r="T45" s="351" t="s">
        <v>169</v>
      </c>
      <c r="U45" s="353"/>
      <c r="V45" s="351" t="s">
        <v>169</v>
      </c>
      <c r="W45" s="357">
        <f t="shared" ref="W45:W53" si="37">$V$11/SUM($F$56-$F$7-$F$11+$H$56+$I$56*0.5)*SUM(F45+H45+I45*0.5)</f>
        <v>2005380.2323270408</v>
      </c>
      <c r="X45" s="351" t="s">
        <v>169</v>
      </c>
      <c r="Y45" s="358">
        <f t="shared" si="33"/>
        <v>512998.5042389711</v>
      </c>
      <c r="Z45" s="351" t="s">
        <v>169</v>
      </c>
      <c r="AA45" s="359">
        <f t="shared" si="34"/>
        <v>3969420.8216626439</v>
      </c>
      <c r="AB45" s="351" t="s">
        <v>169</v>
      </c>
      <c r="AC45" s="361">
        <f t="shared" si="35"/>
        <v>2203076.6676701987</v>
      </c>
      <c r="AD45" s="351" t="s">
        <v>169</v>
      </c>
      <c r="AE45" s="360">
        <f>$AD$40*0.5*(L45/$L$54)+$AD$40*0.25*(J45/$J$54)+$AD$40*0.25*(K45/$K$54)</f>
        <v>282426.38356809336</v>
      </c>
      <c r="AF45" s="351">
        <f t="shared" si="36"/>
        <v>8973302.6094669476</v>
      </c>
      <c r="AH45" s="334"/>
      <c r="AI45" s="478"/>
      <c r="AJ45" s="479"/>
    </row>
    <row r="46" spans="1:36" s="335" customFormat="1" ht="11.25" x14ac:dyDescent="0.2">
      <c r="A46" s="342"/>
      <c r="B46" s="343" t="s">
        <v>1</v>
      </c>
      <c r="C46" s="343"/>
      <c r="D46" s="344" t="s">
        <v>228</v>
      </c>
      <c r="E46" s="364" t="s">
        <v>11</v>
      </c>
      <c r="F46" s="346">
        <v>99</v>
      </c>
      <c r="G46" s="347">
        <v>93.11</v>
      </c>
      <c r="H46" s="346">
        <v>571</v>
      </c>
      <c r="I46" s="346">
        <v>9</v>
      </c>
      <c r="J46" s="346">
        <v>25</v>
      </c>
      <c r="K46" s="363">
        <v>26528000</v>
      </c>
      <c r="L46" s="347">
        <v>9.1999999999999993</v>
      </c>
      <c r="M46" s="350"/>
      <c r="N46" s="350"/>
      <c r="O46" s="350"/>
      <c r="P46" s="351">
        <v>0</v>
      </c>
      <c r="Q46" s="351">
        <v>0</v>
      </c>
      <c r="R46" s="350"/>
      <c r="S46" s="351">
        <f t="shared" si="32"/>
        <v>0</v>
      </c>
      <c r="T46" s="351" t="s">
        <v>169</v>
      </c>
      <c r="U46" s="353"/>
      <c r="V46" s="351" t="s">
        <v>169</v>
      </c>
      <c r="W46" s="357">
        <f t="shared" si="37"/>
        <v>1131907.0851084427</v>
      </c>
      <c r="X46" s="351" t="s">
        <v>169</v>
      </c>
      <c r="Y46" s="358">
        <f t="shared" si="33"/>
        <v>454258.58991622058</v>
      </c>
      <c r="Z46" s="351" t="s">
        <v>169</v>
      </c>
      <c r="AA46" s="359">
        <f t="shared" si="34"/>
        <v>3514909.8688065503</v>
      </c>
      <c r="AB46" s="351" t="s">
        <v>169</v>
      </c>
      <c r="AC46" s="361">
        <f t="shared" si="35"/>
        <v>1243493.9015427188</v>
      </c>
      <c r="AD46" s="351" t="s">
        <v>169</v>
      </c>
      <c r="AE46" s="360">
        <f t="shared" ref="AE46:AE52" si="38">$AD$40*0.5*(L46/$L$54)+$AD$40*0.25*(J46/$J$54)+$AD$40*0.25*(K46/$K$54)</f>
        <v>799116.98639787803</v>
      </c>
      <c r="AF46" s="351">
        <f t="shared" si="36"/>
        <v>7143686.4317718102</v>
      </c>
      <c r="AH46" s="334"/>
      <c r="AI46" s="478"/>
      <c r="AJ46" s="479"/>
    </row>
    <row r="47" spans="1:36" s="335" customFormat="1" ht="11.25" x14ac:dyDescent="0.2">
      <c r="A47" s="342"/>
      <c r="B47" s="343" t="s">
        <v>2</v>
      </c>
      <c r="C47" s="343"/>
      <c r="D47" s="344" t="s">
        <v>229</v>
      </c>
      <c r="E47" s="347" t="s">
        <v>11</v>
      </c>
      <c r="F47" s="346">
        <v>212</v>
      </c>
      <c r="G47" s="347">
        <v>145.16</v>
      </c>
      <c r="H47" s="346">
        <v>155</v>
      </c>
      <c r="I47" s="346">
        <v>35</v>
      </c>
      <c r="J47" s="346">
        <v>61</v>
      </c>
      <c r="K47" s="363">
        <v>221429068.73999995</v>
      </c>
      <c r="L47" s="347">
        <v>91.9</v>
      </c>
      <c r="M47" s="350"/>
      <c r="N47" s="350"/>
      <c r="O47" s="350"/>
      <c r="P47" s="351">
        <v>0</v>
      </c>
      <c r="Q47" s="351">
        <v>0</v>
      </c>
      <c r="R47" s="350"/>
      <c r="S47" s="351">
        <f t="shared" si="32"/>
        <v>0</v>
      </c>
      <c r="T47" s="351" t="s">
        <v>169</v>
      </c>
      <c r="U47" s="353"/>
      <c r="V47" s="351" t="s">
        <v>169</v>
      </c>
      <c r="W47" s="357">
        <f t="shared" si="37"/>
        <v>645245.77349769638</v>
      </c>
      <c r="X47" s="351" t="s">
        <v>169</v>
      </c>
      <c r="Y47" s="358">
        <f t="shared" si="33"/>
        <v>708196.50856233039</v>
      </c>
      <c r="Z47" s="351" t="s">
        <v>169</v>
      </c>
      <c r="AA47" s="359">
        <f t="shared" si="34"/>
        <v>5479801.4880889142</v>
      </c>
      <c r="AB47" s="351" t="s">
        <v>169</v>
      </c>
      <c r="AC47" s="361">
        <f t="shared" si="35"/>
        <v>708856.0491373986</v>
      </c>
      <c r="AD47" s="351" t="s">
        <v>169</v>
      </c>
      <c r="AE47" s="360">
        <f t="shared" si="38"/>
        <v>5029263.936793928</v>
      </c>
      <c r="AF47" s="351">
        <f t="shared" si="36"/>
        <v>12571363.756080266</v>
      </c>
      <c r="AH47" s="334"/>
      <c r="AI47" s="478"/>
      <c r="AJ47" s="479"/>
    </row>
    <row r="48" spans="1:36" s="335" customFormat="1" ht="11.25" x14ac:dyDescent="0.2">
      <c r="A48" s="342"/>
      <c r="B48" s="343" t="s">
        <v>3</v>
      </c>
      <c r="C48" s="343"/>
      <c r="D48" s="344" t="s">
        <v>230</v>
      </c>
      <c r="E48" s="347" t="s">
        <v>11</v>
      </c>
      <c r="F48" s="346">
        <v>257</v>
      </c>
      <c r="G48" s="347">
        <v>210.53</v>
      </c>
      <c r="H48" s="346">
        <v>1721</v>
      </c>
      <c r="I48" s="346">
        <v>479</v>
      </c>
      <c r="J48" s="346">
        <v>9</v>
      </c>
      <c r="K48" s="363">
        <v>11078726.810000001</v>
      </c>
      <c r="L48" s="347">
        <v>1.54</v>
      </c>
      <c r="M48" s="350"/>
      <c r="N48" s="350"/>
      <c r="O48" s="350"/>
      <c r="P48" s="351">
        <v>0</v>
      </c>
      <c r="Q48" s="351">
        <v>0</v>
      </c>
      <c r="R48" s="350"/>
      <c r="S48" s="351">
        <f t="shared" si="32"/>
        <v>0</v>
      </c>
      <c r="T48" s="351" t="s">
        <v>169</v>
      </c>
      <c r="U48" s="353"/>
      <c r="V48" s="351" t="s">
        <v>169</v>
      </c>
      <c r="W48" s="357">
        <f t="shared" si="37"/>
        <v>3721280.8913683789</v>
      </c>
      <c r="X48" s="351" t="s">
        <v>169</v>
      </c>
      <c r="Y48" s="358">
        <f t="shared" si="33"/>
        <v>1027119.116475802</v>
      </c>
      <c r="Z48" s="351" t="s">
        <v>169</v>
      </c>
      <c r="AA48" s="359">
        <f t="shared" si="34"/>
        <v>7947524.1615276877</v>
      </c>
      <c r="AB48" s="351" t="s">
        <v>169</v>
      </c>
      <c r="AC48" s="361">
        <f t="shared" si="35"/>
        <v>4088135.9920993014</v>
      </c>
      <c r="AD48" s="351" t="s">
        <v>169</v>
      </c>
      <c r="AE48" s="360">
        <f t="shared" si="38"/>
        <v>238697.8390186606</v>
      </c>
      <c r="AF48" s="351">
        <f t="shared" si="36"/>
        <v>17022758.000489831</v>
      </c>
      <c r="AH48" s="334"/>
      <c r="AI48" s="478"/>
      <c r="AJ48" s="479"/>
    </row>
    <row r="49" spans="1:36" s="335" customFormat="1" ht="11.25" x14ac:dyDescent="0.2">
      <c r="A49" s="342"/>
      <c r="B49" s="343" t="s">
        <v>4</v>
      </c>
      <c r="C49" s="343"/>
      <c r="D49" s="344" t="s">
        <v>231</v>
      </c>
      <c r="E49" s="347" t="s">
        <v>11</v>
      </c>
      <c r="F49" s="346">
        <v>462</v>
      </c>
      <c r="G49" s="347">
        <v>294.29000000000002</v>
      </c>
      <c r="H49" s="346">
        <v>1037</v>
      </c>
      <c r="I49" s="346">
        <v>40</v>
      </c>
      <c r="J49" s="346">
        <v>113</v>
      </c>
      <c r="K49" s="363">
        <v>401508499.97000003</v>
      </c>
      <c r="L49" s="347">
        <v>137.57</v>
      </c>
      <c r="M49" s="350"/>
      <c r="N49" s="350"/>
      <c r="O49" s="350"/>
      <c r="P49" s="351">
        <v>0</v>
      </c>
      <c r="Q49" s="351">
        <v>0</v>
      </c>
      <c r="R49" s="350"/>
      <c r="S49" s="351">
        <f t="shared" si="32"/>
        <v>0</v>
      </c>
      <c r="T49" s="351" t="s">
        <v>169</v>
      </c>
      <c r="U49" s="353"/>
      <c r="V49" s="351" t="s">
        <v>169</v>
      </c>
      <c r="W49" s="357">
        <f t="shared" si="37"/>
        <v>2549098.3873680127</v>
      </c>
      <c r="X49" s="351" t="s">
        <v>169</v>
      </c>
      <c r="Y49" s="358">
        <f t="shared" si="33"/>
        <v>1435761.5769138071</v>
      </c>
      <c r="Z49" s="351" t="s">
        <v>169</v>
      </c>
      <c r="AA49" s="359">
        <f t="shared" si="34"/>
        <v>11109470.790367089</v>
      </c>
      <c r="AB49" s="351" t="s">
        <v>169</v>
      </c>
      <c r="AC49" s="361">
        <f t="shared" si="35"/>
        <v>2800396.199323039</v>
      </c>
      <c r="AD49" s="351" t="s">
        <v>169</v>
      </c>
      <c r="AE49" s="360">
        <f t="shared" si="38"/>
        <v>8216035.0383533109</v>
      </c>
      <c r="AF49" s="351">
        <f t="shared" si="36"/>
        <v>26110761.992325261</v>
      </c>
      <c r="AH49" s="334"/>
      <c r="AI49" s="478"/>
      <c r="AJ49" s="479"/>
    </row>
    <row r="50" spans="1:36" s="335" customFormat="1" ht="11.25" x14ac:dyDescent="0.2">
      <c r="A50" s="342"/>
      <c r="B50" s="343" t="s">
        <v>5</v>
      </c>
      <c r="C50" s="343"/>
      <c r="D50" s="344" t="s">
        <v>232</v>
      </c>
      <c r="E50" s="347" t="s">
        <v>11</v>
      </c>
      <c r="F50" s="346">
        <v>79</v>
      </c>
      <c r="G50" s="347">
        <v>60.38</v>
      </c>
      <c r="H50" s="346">
        <v>326</v>
      </c>
      <c r="I50" s="346">
        <v>432</v>
      </c>
      <c r="J50" s="346">
        <v>17</v>
      </c>
      <c r="K50" s="363">
        <v>13721665.720000001</v>
      </c>
      <c r="L50" s="347">
        <v>3.49</v>
      </c>
      <c r="M50" s="350"/>
      <c r="N50" s="350"/>
      <c r="O50" s="350"/>
      <c r="P50" s="351">
        <v>0</v>
      </c>
      <c r="Q50" s="351">
        <v>0</v>
      </c>
      <c r="R50" s="350"/>
      <c r="S50" s="351">
        <f t="shared" si="32"/>
        <v>0</v>
      </c>
      <c r="T50" s="351" t="s">
        <v>169</v>
      </c>
      <c r="U50" s="353"/>
      <c r="V50" s="351" t="s">
        <v>169</v>
      </c>
      <c r="W50" s="357">
        <f t="shared" si="37"/>
        <v>1042126.4638285291</v>
      </c>
      <c r="X50" s="351" t="s">
        <v>169</v>
      </c>
      <c r="Y50" s="358">
        <f t="shared" si="33"/>
        <v>294577.74309033831</v>
      </c>
      <c r="Z50" s="351" t="s">
        <v>169</v>
      </c>
      <c r="AA50" s="359">
        <f t="shared" si="34"/>
        <v>2279349.7785258242</v>
      </c>
      <c r="AB50" s="351" t="s">
        <v>169</v>
      </c>
      <c r="AC50" s="361">
        <f t="shared" si="35"/>
        <v>1144862.4356679441</v>
      </c>
      <c r="AD50" s="351" t="s">
        <v>169</v>
      </c>
      <c r="AE50" s="360">
        <f t="shared" si="38"/>
        <v>431054.24055718171</v>
      </c>
      <c r="AF50" s="351">
        <f t="shared" si="36"/>
        <v>5191970.6616698178</v>
      </c>
      <c r="AH50" s="334"/>
      <c r="AI50" s="478"/>
      <c r="AJ50" s="479"/>
    </row>
    <row r="51" spans="1:36" s="335" customFormat="1" ht="11.25" x14ac:dyDescent="0.2">
      <c r="A51" s="342"/>
      <c r="B51" s="343" t="s">
        <v>6</v>
      </c>
      <c r="C51" s="343"/>
      <c r="D51" s="344" t="s">
        <v>233</v>
      </c>
      <c r="E51" s="347" t="s">
        <v>11</v>
      </c>
      <c r="F51" s="346">
        <v>232</v>
      </c>
      <c r="G51" s="347">
        <v>144.43</v>
      </c>
      <c r="H51" s="346">
        <v>1150</v>
      </c>
      <c r="I51" s="346">
        <v>545</v>
      </c>
      <c r="J51" s="346">
        <v>19</v>
      </c>
      <c r="K51" s="363">
        <v>29450522.280000001</v>
      </c>
      <c r="L51" s="347">
        <v>9.0500000000000007</v>
      </c>
      <c r="M51" s="350"/>
      <c r="N51" s="350"/>
      <c r="O51" s="350"/>
      <c r="P51" s="351">
        <v>0</v>
      </c>
      <c r="Q51" s="351">
        <v>0</v>
      </c>
      <c r="R51" s="350"/>
      <c r="S51" s="351">
        <f t="shared" si="32"/>
        <v>0</v>
      </c>
      <c r="T51" s="351" t="s">
        <v>169</v>
      </c>
      <c r="U51" s="353" t="s">
        <v>169</v>
      </c>
      <c r="V51" s="351" t="s">
        <v>169</v>
      </c>
      <c r="W51" s="357">
        <f t="shared" si="37"/>
        <v>2776486.6898619989</v>
      </c>
      <c r="X51" s="351" t="s">
        <v>169</v>
      </c>
      <c r="Y51" s="358">
        <f t="shared" si="33"/>
        <v>704635.03535173181</v>
      </c>
      <c r="Z51" s="351" t="s">
        <v>169</v>
      </c>
      <c r="AA51" s="359">
        <f t="shared" si="34"/>
        <v>5452243.9303160785</v>
      </c>
      <c r="AB51" s="351" t="s">
        <v>169</v>
      </c>
      <c r="AC51" s="361">
        <f t="shared" si="35"/>
        <v>3050201.1269124215</v>
      </c>
      <c r="AD51" s="351" t="s">
        <v>169</v>
      </c>
      <c r="AE51" s="360">
        <f t="shared" si="38"/>
        <v>723447.26118752151</v>
      </c>
      <c r="AF51" s="351">
        <f t="shared" si="36"/>
        <v>12707014.043629752</v>
      </c>
      <c r="AH51" s="334"/>
      <c r="AI51" s="478"/>
      <c r="AJ51" s="479"/>
    </row>
    <row r="52" spans="1:36" s="335" customFormat="1" ht="11.25" x14ac:dyDescent="0.2">
      <c r="A52" s="342"/>
      <c r="B52" s="343" t="s">
        <v>7</v>
      </c>
      <c r="C52" s="343"/>
      <c r="D52" s="344" t="s">
        <v>234</v>
      </c>
      <c r="E52" s="347" t="s">
        <v>11</v>
      </c>
      <c r="F52" s="346">
        <v>165</v>
      </c>
      <c r="G52" s="347">
        <v>161.66999999999999</v>
      </c>
      <c r="H52" s="346">
        <v>772</v>
      </c>
      <c r="I52" s="346">
        <v>312</v>
      </c>
      <c r="J52" s="346">
        <v>38</v>
      </c>
      <c r="K52" s="363">
        <v>74620275.520000011</v>
      </c>
      <c r="L52" s="347">
        <v>6.95</v>
      </c>
      <c r="M52" s="350"/>
      <c r="N52" s="350"/>
      <c r="O52" s="350"/>
      <c r="P52" s="351">
        <v>0</v>
      </c>
      <c r="Q52" s="351">
        <v>0</v>
      </c>
      <c r="R52" s="350"/>
      <c r="S52" s="351">
        <f t="shared" si="32"/>
        <v>0</v>
      </c>
      <c r="T52" s="351" t="s">
        <v>169</v>
      </c>
      <c r="U52" s="353"/>
      <c r="V52" s="351" t="s">
        <v>169</v>
      </c>
      <c r="W52" s="357">
        <f t="shared" si="37"/>
        <v>1834209.7020363645</v>
      </c>
      <c r="X52" s="351" t="s">
        <v>169</v>
      </c>
      <c r="Y52" s="358">
        <f t="shared" si="33"/>
        <v>788744.34788696573</v>
      </c>
      <c r="Z52" s="351" t="s">
        <v>169</v>
      </c>
      <c r="AA52" s="359">
        <f t="shared" si="34"/>
        <v>6103055.2947047036</v>
      </c>
      <c r="AB52" s="351" t="s">
        <v>169</v>
      </c>
      <c r="AC52" s="361">
        <f t="shared" si="35"/>
        <v>2015031.6299276378</v>
      </c>
      <c r="AD52" s="351" t="s">
        <v>169</v>
      </c>
      <c r="AE52" s="360">
        <f t="shared" si="38"/>
        <v>1171324.9895912902</v>
      </c>
      <c r="AF52" s="351">
        <f t="shared" si="36"/>
        <v>11912365.964146961</v>
      </c>
      <c r="AH52" s="334"/>
      <c r="AI52" s="478"/>
      <c r="AJ52" s="479"/>
    </row>
    <row r="53" spans="1:36" s="335" customFormat="1" ht="11.25" x14ac:dyDescent="0.2">
      <c r="A53" s="342"/>
      <c r="B53" s="343" t="s">
        <v>235</v>
      </c>
      <c r="C53" s="343"/>
      <c r="D53" s="344" t="s">
        <v>236</v>
      </c>
      <c r="E53" s="347" t="s">
        <v>11</v>
      </c>
      <c r="F53" s="346">
        <f>86*0.5</f>
        <v>43</v>
      </c>
      <c r="G53" s="347">
        <f>85.07*0.5</f>
        <v>42.534999999999997</v>
      </c>
      <c r="H53" s="348"/>
      <c r="I53" s="348"/>
      <c r="J53" s="348"/>
      <c r="K53" s="349"/>
      <c r="L53" s="349"/>
      <c r="M53" s="350"/>
      <c r="N53" s="350"/>
      <c r="O53" s="350"/>
      <c r="P53" s="351">
        <v>0</v>
      </c>
      <c r="Q53" s="351">
        <v>0</v>
      </c>
      <c r="R53" s="350"/>
      <c r="S53" s="351">
        <f t="shared" si="32"/>
        <v>0</v>
      </c>
      <c r="T53" s="351" t="s">
        <v>169</v>
      </c>
      <c r="U53" s="353"/>
      <c r="V53" s="351" t="s">
        <v>169</v>
      </c>
      <c r="W53" s="357">
        <f t="shared" si="37"/>
        <v>72160.125514696862</v>
      </c>
      <c r="X53" s="351" t="s">
        <v>169</v>
      </c>
      <c r="Y53" s="358">
        <f t="shared" si="33"/>
        <v>207516.79864769027</v>
      </c>
      <c r="Z53" s="351" t="s">
        <v>169</v>
      </c>
      <c r="AA53" s="359">
        <f t="shared" si="34"/>
        <v>1605699.6162569714</v>
      </c>
      <c r="AB53" s="351" t="s">
        <v>169</v>
      </c>
      <c r="AC53" s="361" t="s">
        <v>169</v>
      </c>
      <c r="AD53" s="351" t="s">
        <v>169</v>
      </c>
      <c r="AE53" s="360" t="s">
        <v>169</v>
      </c>
      <c r="AF53" s="351">
        <f t="shared" si="36"/>
        <v>1885376.5404193585</v>
      </c>
      <c r="AH53" s="334"/>
      <c r="AI53" s="478"/>
      <c r="AJ53" s="479"/>
    </row>
    <row r="54" spans="1:36" s="335" customFormat="1" ht="11.25" x14ac:dyDescent="0.2">
      <c r="A54" s="342"/>
      <c r="B54" s="342" t="s">
        <v>237</v>
      </c>
      <c r="C54" s="342"/>
      <c r="D54" s="356"/>
      <c r="E54" s="349">
        <f t="shared" ref="E54:S54" si="39">SUM(E43:E53)</f>
        <v>0</v>
      </c>
      <c r="F54" s="349">
        <f t="shared" si="39"/>
        <v>1663</v>
      </c>
      <c r="G54" s="349">
        <f t="shared" si="39"/>
        <v>1257.2550000000001</v>
      </c>
      <c r="H54" s="348">
        <f t="shared" si="39"/>
        <v>6649</v>
      </c>
      <c r="I54" s="348">
        <f t="shared" si="39"/>
        <v>2180</v>
      </c>
      <c r="J54" s="348">
        <f t="shared" si="39"/>
        <v>293</v>
      </c>
      <c r="K54" s="365">
        <f t="shared" si="39"/>
        <v>788884930.42999995</v>
      </c>
      <c r="L54" s="349">
        <f t="shared" si="39"/>
        <v>261.79000000000002</v>
      </c>
      <c r="M54" s="351">
        <f t="shared" si="39"/>
        <v>0</v>
      </c>
      <c r="N54" s="351">
        <f t="shared" si="39"/>
        <v>0</v>
      </c>
      <c r="O54" s="351">
        <f t="shared" si="39"/>
        <v>0</v>
      </c>
      <c r="P54" s="351">
        <f t="shared" si="39"/>
        <v>0</v>
      </c>
      <c r="Q54" s="351">
        <f t="shared" si="39"/>
        <v>0</v>
      </c>
      <c r="R54" s="351">
        <f t="shared" si="39"/>
        <v>0</v>
      </c>
      <c r="S54" s="351">
        <f t="shared" si="39"/>
        <v>0</v>
      </c>
      <c r="T54" s="351" t="s">
        <v>169</v>
      </c>
      <c r="U54" s="353">
        <f>SUM(U43:U53)</f>
        <v>0</v>
      </c>
      <c r="V54" s="351" t="s">
        <v>169</v>
      </c>
      <c r="W54" s="357">
        <f>SUM(W43:W53)</f>
        <v>15777895.350911161</v>
      </c>
      <c r="X54" s="351" t="s">
        <v>169</v>
      </c>
      <c r="Y54" s="358">
        <f>SUM(Y43:Y53)</f>
        <v>6133808.2210838571</v>
      </c>
      <c r="Z54" s="351" t="s">
        <v>169</v>
      </c>
      <c r="AA54" s="359">
        <f>SUM(AA43:AA53)</f>
        <v>47461475.750256464</v>
      </c>
      <c r="AB54" s="351" t="s">
        <v>169</v>
      </c>
      <c r="AC54" s="361">
        <f>SUM(AC43:AC53)</f>
        <v>17254054.002280664</v>
      </c>
      <c r="AD54" s="351" t="s">
        <v>169</v>
      </c>
      <c r="AE54" s="360">
        <f>SUM(AE43:AE53)</f>
        <v>16891366.675467867</v>
      </c>
      <c r="AF54" s="351">
        <f>SUM(AF43:AF53)</f>
        <v>103518600</v>
      </c>
      <c r="AH54" s="334"/>
      <c r="AI54" s="478"/>
      <c r="AJ54" s="479"/>
    </row>
    <row r="55" spans="1:36" s="335" customFormat="1" ht="11.25" x14ac:dyDescent="0.2">
      <c r="A55" s="550"/>
      <c r="B55" s="551"/>
      <c r="C55" s="551"/>
      <c r="D55" s="551"/>
      <c r="E55" s="551"/>
      <c r="F55" s="551"/>
      <c r="G55" s="551"/>
      <c r="H55" s="551"/>
      <c r="I55" s="551"/>
      <c r="J55" s="551"/>
      <c r="K55" s="551"/>
      <c r="L55" s="551"/>
      <c r="M55" s="551"/>
      <c r="N55" s="551"/>
      <c r="O55" s="551"/>
      <c r="P55" s="551"/>
      <c r="Q55" s="551"/>
      <c r="R55" s="551"/>
      <c r="S55" s="551"/>
      <c r="T55" s="551"/>
      <c r="U55" s="551"/>
      <c r="V55" s="551"/>
      <c r="W55" s="551"/>
      <c r="X55" s="551"/>
      <c r="Y55" s="551"/>
      <c r="Z55" s="551"/>
      <c r="AA55" s="551"/>
      <c r="AB55" s="551"/>
      <c r="AC55" s="551"/>
      <c r="AD55" s="551"/>
      <c r="AE55" s="551"/>
      <c r="AF55" s="552"/>
      <c r="AH55" s="334"/>
      <c r="AI55" s="334"/>
      <c r="AJ55" s="334"/>
    </row>
    <row r="56" spans="1:36" ht="22.5" x14ac:dyDescent="0.2">
      <c r="A56" s="342" t="s">
        <v>238</v>
      </c>
      <c r="B56" s="336"/>
      <c r="C56" s="336"/>
      <c r="D56" s="366"/>
      <c r="E56" s="349">
        <f t="shared" ref="E56:S56" si="40">SUM(E7,E11,E15,E31,E35,E40,E54)</f>
        <v>8811.42</v>
      </c>
      <c r="F56" s="349">
        <f t="shared" si="40"/>
        <v>1818</v>
      </c>
      <c r="G56" s="349">
        <f t="shared" si="40"/>
        <v>1403.5050000000001</v>
      </c>
      <c r="H56" s="349">
        <f t="shared" si="40"/>
        <v>6649</v>
      </c>
      <c r="I56" s="349">
        <f t="shared" si="40"/>
        <v>2180</v>
      </c>
      <c r="J56" s="349">
        <f t="shared" si="40"/>
        <v>293</v>
      </c>
      <c r="K56" s="365">
        <f t="shared" si="40"/>
        <v>788884930.42999995</v>
      </c>
      <c r="L56" s="349">
        <f t="shared" si="40"/>
        <v>261.79000000000002</v>
      </c>
      <c r="M56" s="367">
        <f t="shared" si="40"/>
        <v>69559000</v>
      </c>
      <c r="N56" s="367">
        <f t="shared" si="40"/>
        <v>30659600</v>
      </c>
      <c r="O56" s="367">
        <f t="shared" si="40"/>
        <v>3300000</v>
      </c>
      <c r="P56" s="367">
        <f t="shared" si="40"/>
        <v>103518600</v>
      </c>
      <c r="Q56" s="367">
        <f t="shared" si="40"/>
        <v>100218600</v>
      </c>
      <c r="R56" s="368">
        <f t="shared" si="40"/>
        <v>0</v>
      </c>
      <c r="S56" s="367">
        <f t="shared" si="40"/>
        <v>103518600</v>
      </c>
      <c r="T56" s="351"/>
      <c r="U56" s="353">
        <f>SUM(U7,U11,U15,U31,U35,U40,U54)</f>
        <v>5465936.0000000009</v>
      </c>
      <c r="V56" s="351"/>
      <c r="W56" s="367">
        <f>SUM(W7,W11,W15,W31,W35,W40,W54)</f>
        <v>15997732.012362912</v>
      </c>
      <c r="X56" s="351"/>
      <c r="Y56" s="367">
        <f>SUM(Y7,Y11,Y15,Y31,Y35,Y40,Y54)</f>
        <v>6689300.4673287384</v>
      </c>
      <c r="Z56" s="351"/>
      <c r="AA56" s="367">
        <f>SUM(AA7,AA11,AA15,AA31,AA35,AA40,AA54)</f>
        <v>48869553.70221097</v>
      </c>
      <c r="AB56" s="351"/>
      <c r="AC56" s="367">
        <f>SUM(AC7,AC11,AC15,AC31,AC35,AC40,AC54)</f>
        <v>17254054.002280664</v>
      </c>
      <c r="AD56" s="351"/>
      <c r="AE56" s="367">
        <f>SUM(AE7,AE11,AE15,AE31,AE35,AE40,AE54)</f>
        <v>16891366.675467867</v>
      </c>
      <c r="AF56" s="367">
        <f>SUM(AF7,AF11,AF15,AF31,AF35,AF40,AF54)</f>
        <v>103518600</v>
      </c>
    </row>
    <row r="57" spans="1:36" ht="11.25" x14ac:dyDescent="0.2">
      <c r="M57" s="373"/>
      <c r="P57" s="374"/>
      <c r="U57" s="373"/>
      <c r="W57" s="373"/>
      <c r="AF57" s="374">
        <f>S56</f>
        <v>103518600</v>
      </c>
      <c r="AI57" s="373"/>
      <c r="AJ57" s="376"/>
    </row>
    <row r="58" spans="1:36" ht="20.25" x14ac:dyDescent="0.25">
      <c r="F58"/>
      <c r="L58" s="377" t="s">
        <v>239</v>
      </c>
      <c r="M58" s="378">
        <f>SUM(M56:O56)</f>
        <v>103518600</v>
      </c>
      <c r="N58"/>
      <c r="O58"/>
      <c r="AF58" s="379">
        <f>AF56-AF53</f>
        <v>101633223.45958064</v>
      </c>
    </row>
    <row r="59" spans="1:36" ht="15" customHeight="1" x14ac:dyDescent="0.25">
      <c r="F59"/>
      <c r="I59" s="477"/>
      <c r="N59" s="373"/>
      <c r="O59" s="373"/>
    </row>
    <row r="60" spans="1:36" ht="15" customHeight="1" x14ac:dyDescent="0.25">
      <c r="F60"/>
      <c r="I60" s="477"/>
      <c r="O60" s="373"/>
      <c r="P60" s="373"/>
    </row>
    <row r="61" spans="1:36" ht="15" customHeight="1" x14ac:dyDescent="0.25">
      <c r="F61"/>
      <c r="I61" s="477"/>
      <c r="P61" s="374"/>
    </row>
    <row r="62" spans="1:36" ht="15" customHeight="1" x14ac:dyDescent="0.2">
      <c r="I62" s="477"/>
    </row>
    <row r="63" spans="1:36" ht="15" customHeight="1" x14ac:dyDescent="0.2">
      <c r="I63" s="477"/>
    </row>
    <row r="64" spans="1:36" ht="15" customHeight="1" x14ac:dyDescent="0.2">
      <c r="I64" s="477"/>
    </row>
    <row r="65" spans="9:9" ht="15" customHeight="1" x14ac:dyDescent="0.2">
      <c r="I65" s="477"/>
    </row>
    <row r="66" spans="9:9" ht="15" customHeight="1" x14ac:dyDescent="0.2">
      <c r="I66" s="477"/>
    </row>
  </sheetData>
  <mergeCells count="1">
    <mergeCell ref="A55:AF55"/>
  </mergeCells>
  <pageMargins left="0.7" right="0.7" top="0.78740157499999996" bottom="0.78740157499999996" header="0.3" footer="0.3"/>
  <pageSetup paperSize="9" scale="22"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C8D805EFB38A8D439074FEE75F7447D7" ma:contentTypeVersion="2" ma:contentTypeDescription="Vytvoří nový dokument" ma:contentTypeScope="" ma:versionID="92168eef88433f35690fdeaddd98c2e1">
  <xsd:schema xmlns:xsd="http://www.w3.org/2001/XMLSchema" xmlns:xs="http://www.w3.org/2001/XMLSchema" xmlns:p="http://schemas.microsoft.com/office/2006/metadata/properties" xmlns:ns2="253febbb-0e1e-41dd-8751-01c32cbfc3a5" targetNamespace="http://schemas.microsoft.com/office/2006/metadata/properties" ma:root="true" ma:fieldsID="ddc83baf9cfb7fbd79ba064dd1b3d2ec" ns2:_="">
    <xsd:import namespace="253febbb-0e1e-41dd-8751-01c32cbfc3a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3febbb-0e1e-41dd-8751-01c32cbfc3a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63E12C5-1577-40D8-87E1-F3B67A91E13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3febbb-0e1e-41dd-8751-01c32cbfc3a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624FAC87-E3FF-4A26-95A0-C5E208E54E53}">
  <ds:schemaRefs>
    <ds:schemaRef ds:uri="http://purl.org/dc/dcmitype/"/>
    <ds:schemaRef ds:uri="http://schemas.microsoft.com/office/2006/documentManagement/types"/>
    <ds:schemaRef ds:uri="http://purl.org/dc/elements/1.1/"/>
    <ds:schemaRef ds:uri="http://schemas.microsoft.com/office/2006/metadata/properties"/>
    <ds:schemaRef ds:uri="253febbb-0e1e-41dd-8751-01c32cbfc3a5"/>
    <ds:schemaRef ds:uri="http://purl.org/dc/terms/"/>
    <ds:schemaRef ds:uri="http://schemas.openxmlformats.org/package/2006/metadata/core-properties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D6A868CA-F438-4E07-88FB-98CB15FE264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8</vt:i4>
      </vt:variant>
      <vt:variant>
        <vt:lpstr>Pojmenované oblasti</vt:lpstr>
      </vt:variant>
      <vt:variant>
        <vt:i4>1</vt:i4>
      </vt:variant>
    </vt:vector>
  </HeadingPairs>
  <TitlesOfParts>
    <vt:vector size="9" baseType="lpstr">
      <vt:lpstr>Obsah</vt:lpstr>
      <vt:lpstr>1.1 Objemy A JU</vt:lpstr>
      <vt:lpstr>1.2 Objemy K JU</vt:lpstr>
      <vt:lpstr>1.3 A+K 2020</vt:lpstr>
      <vt:lpstr>2 Dotace na RVO</vt:lpstr>
      <vt:lpstr>3 Rekapituace</vt:lpstr>
      <vt:lpstr>4 Návrh R a AK 2020 2.3.2020</vt:lpstr>
      <vt:lpstr>5 Alokace R a AK 2020</vt:lpstr>
      <vt:lpstr>'3 Rekapituace'!Print_Area</vt:lpstr>
    </vt:vector>
  </TitlesOfParts>
  <Company>JCU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valentovaj@jcu.cz</dc:creator>
  <cp:lastModifiedBy>Valentová Jiřina Ing.</cp:lastModifiedBy>
  <cp:lastPrinted>2020-02-25T12:03:22Z</cp:lastPrinted>
  <dcterms:created xsi:type="dcterms:W3CDTF">2019-02-20T12:58:44Z</dcterms:created>
  <dcterms:modified xsi:type="dcterms:W3CDTF">2020-04-14T18:15:27Z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0x010100C8D805EFB38A8D439074FEE75F7447D7</vt:lpwstr>
  </property>
</Properties>
</file>